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940" activeTab="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<sst xmlns="http://schemas.openxmlformats.org/spreadsheetml/2006/main" count="1325" uniqueCount="435">
  <si>
    <t>收入支出决算总表</t>
  </si>
  <si>
    <t>公开01表</t>
  </si>
  <si>
    <t>部门：岳阳县自然资源局</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</si>
  <si>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</si>
  <si>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</si>
  <si>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</si>
  <si>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</si>
  <si>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</si>
  <si>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</si>
  <si>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</si>
  <si>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</si>
  <si>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</si>
  <si>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</si>
  <si>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</si>
  <si>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</si>
  <si>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</si>
  <si>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</si>
  <si>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</si>
  <si>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</si>
  <si>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</si>
  <si>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</si>
  <si>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</si>
  <si>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</si>
  <si>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</si>
  <si>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</si>
  <si>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</si>
  <si>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</si>
  <si>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</si>
  <si>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</si>
  <si>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</si>
  <si>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</si>
  <si>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</si>
  <si>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</si>
  <si>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</si>
  <si>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</si>
  <si>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</si>
  <si>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</si>
  <si>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</si>
  <si>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</si>
  <si>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</si>
  <si>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</si>
  <si>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</si>
  <si>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</si>
  <si>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</si>
  <si>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</si>
  <si>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</si>
  <si>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</si>
  <si>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</si>
  <si>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</si>
  <si>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</si>
  <si>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</si>
  <si>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</si>
  <si>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</si>
  <si>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</si>
  <si>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</si>
  <si>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</si>
  <si>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</si>
  <si>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</si>
  <si>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</si>
  <si>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</si>
  <si>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</si>
  <si>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</si>
  <si>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</si>
  <si>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</si>
  <si>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</si>
  <si>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</si>
  <si>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</si>
  <si>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</si>
  <si>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</si>
  <si>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</si>
  <si>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</si>
  <si>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</si>
  <si>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</si>
  <si>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</si>
  <si>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</si>
  <si>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</si>
  <si>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</si>
  <si>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</si>
  <si>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</si>
  <si>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</si>
  <si>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</si>
  <si>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</si>
  <si>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</si>
  <si>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</si>
  <si>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</si>
  <si>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</si>
  <si>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</si>
  <si>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</si>
  <si>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</si>
  <si>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</si>
  <si>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</si>
  <si>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</si>
  <si>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</si>
  <si>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</si>
  <si>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</si>
  <si>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</si>
  <si>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</si>
  <si>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</si>
  <si>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</si>
  <si>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</si>
  <si>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</si>
  <si>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</si>
  <si>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</si>
  <si>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</si>
  <si>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</si>
  <si>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</si>
  <si>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</si>
  <si>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</si>
  <si>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</si>
  <si>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</si>
  <si>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</si>
  <si>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</si>
  <si>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</si>
  <si>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</si>
  <si>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</si>
  <si>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</si>
  <si>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</si>
  <si>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</si>
  <si>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</si>
  <si>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</si>
  <si>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</si>
  <si>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</si>
  <si>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</si>
  <si>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</si>
  <si>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</si>
  <si>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</si>
  <si>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</si>
  <si>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</si>
  <si>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</si>
  <si>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</si>
  <si>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</si>
  <si>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201</t>
  </si>
  <si>
    <t>一般公共服务支出</t>
  </si>
  <si>
    <t>20103</t>
  </si>
  <si>
    <t>政府办公厅（室）及相关机构事务</t>
  </si>
  <si>
    <t>2010399</t>
  </si>
  <si>
    <t>其他政府办公厅（室）及相关机构事务支出</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</si>
  <si>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</si>
  <si>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</si>
  <si>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</si>
  <si>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</si>
  <si>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</si>
  <si>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</si>
  <si>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</si>
  <si>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</si>
  <si>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</si>
  <si>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</si>
  <si>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</si>
  <si>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</si>
  <si>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</si>
  <si>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</si>
  <si>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</si>
  <si>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</si>
  <si>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</si>
  <si>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</si>
  <si>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</si>
  <si>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212</t>
  </si>
  <si>
    <t>城乡社区支出</t>
  </si>
  <si>
    <t>21208</t>
  </si>
  <si>
    <t>国有土地使用权出让收入安排的支出</t>
  </si>
  <si>
    <t>2120802</t>
  </si>
  <si>
    <t>土地开发支出</t>
  </si>
  <si>
    <t>2120803</t>
  </si>
  <si>
    <t>城市建设支出</t>
  </si>
  <si>
    <t>2120816</t>
  </si>
  <si>
    <t>农业农村生态环境支出</t>
  </si>
  <si>
    <t>2120899</t>
  </si>
  <si>
    <t>其他国有土地使用权出让收入安排的支出</t>
  </si>
  <si>
    <t>213</t>
  </si>
  <si>
    <t>农林水支出</t>
  </si>
  <si>
    <t>21301</t>
  </si>
  <si>
    <t>农业农村</t>
  </si>
  <si>
    <t>2130122</t>
  </si>
  <si>
    <t>农业生产发展</t>
  </si>
  <si>
    <t>220</t>
  </si>
  <si>
    <t>自然资源海洋气象等支出</t>
  </si>
  <si>
    <t>22001</t>
  </si>
  <si>
    <t>自然资源事务</t>
  </si>
  <si>
    <t>2200101</t>
  </si>
  <si>
    <t>行政运行</t>
  </si>
  <si>
    <t>2200104</t>
  </si>
  <si>
    <t>自然资源规划及管理</t>
  </si>
  <si>
    <t>2200106</t>
  </si>
  <si>
    <t>自然资源利用与保护</t>
  </si>
  <si>
    <t>2200199</t>
  </si>
  <si>
    <t>其他自然资源事务支出</t>
  </si>
  <si>
    <t>221</t>
  </si>
  <si>
    <t>住房保障支出</t>
  </si>
  <si>
    <t>22102</t>
  </si>
  <si>
    <t>住房改革支出</t>
  </si>
  <si>
    <t>2210201</t>
  </si>
  <si>
    <t>住房公积金</t>
  </si>
  <si>
    <t>223</t>
  </si>
  <si>
    <t>国有资本经营预算支出</t>
  </si>
  <si>
    <t>22399</t>
  </si>
  <si>
    <t>其他国有资本经营预算支出</t>
  </si>
  <si>
    <t>2239999</t>
  </si>
  <si>
    <t>224</t>
  </si>
  <si>
    <t>灾害防治及应急管理支出</t>
  </si>
  <si>
    <t>22406</t>
  </si>
  <si>
    <t>自然灾害防治</t>
  </si>
  <si>
    <t>2240601</t>
  </si>
  <si>
    <t>地质灾害防治</t>
  </si>
  <si>
    <t>229</t>
  </si>
  <si>
    <t>其他支出</t>
  </si>
  <si>
    <t>22999</t>
  </si>
  <si>
    <t>2299999</t>
  </si>
  <si>
    <t>注：本表反映部门本年度取得的各项收入情况。</t>
  </si>
  <si>
    <t>—2.%d —</t>
  </si>
  <si>
    <t>支出决算表</t>
  </si>
  <si>
    <t>公开03表</t>
  </si>
  <si>
    <t>基本支出</t>
  </si>
  <si>
    <t>项目支出</t>
  </si>
  <si>
    <t>上缴上级支出</t>
  </si>
  <si>
    <t>经营支出</t>
  </si>
  <si>
    <t>对附属单位补助支出</t>
  </si>
  <si>
    <t>注：本表反映部门本年度各项支出情况。</t>
  </si>
  <si>
    <t>— 3.%d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</si>
  <si>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</si>
  <si>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</si>
  <si>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</si>
  <si>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</si>
  <si>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</si>
  <si>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</si>
  <si>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</si>
  <si>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</si>
  <si>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</si>
  <si>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</si>
  <si>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</si>
  <si>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</si>
  <si>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</si>
  <si>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</si>
  <si>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</si>
  <si>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</si>
  <si>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</si>
  <si>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</si>
  <si>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</si>
  <si>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</si>
  <si>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</si>
  <si>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</si>
  <si>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</si>
  <si>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</si>
  <si>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5.%d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</si>
  <si>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</si>
  <si>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</si>
  <si>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</si>
  <si>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</si>
  <si>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</si>
  <si>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</si>
  <si>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</si>
  <si>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</si>
  <si>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</si>
  <si>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</si>
  <si>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</si>
  <si>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</si>
  <si>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</si>
  <si>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</si>
  <si>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</si>
  <si>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</si>
  <si>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</si>
  <si>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</si>
  <si>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</si>
  <si>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</si>
  <si>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</si>
  <si>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</si>
  <si>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</si>
  <si>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</si>
  <si>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</si>
  <si>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</si>
  <si>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</si>
  <si>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</si>
  <si>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</si>
  <si>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</si>
  <si>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</si>
  <si>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</si>
  <si>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</si>
  <si>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</si>
  <si>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</si>
  <si>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</si>
  <si>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</si>
  <si>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</si>
  <si>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</si>
  <si>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</si>
  <si>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</si>
  <si>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</si>
  <si>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</si>
  <si>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</si>
  <si>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</si>
  <si>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</si>
  <si>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</si>
  <si>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</si>
  <si>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</si>
  <si>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</si>
  <si>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</si>
  <si>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</si>
  <si>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</si>
  <si>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</si>
  <si>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</si>
  <si>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</si>
  <si>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</si>
  <si>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</si>
  <si>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</si>
  <si>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</si>
  <si>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</si>
  <si>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</si>
  <si>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</si>
  <si>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</si>
  <si>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</si>
  <si>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</si>
  <si>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</si>
  <si>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</si>
  <si>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</si>
  <si>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</si>
  <si>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</si>
  <si>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</si>
  <si>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</si>
  <si>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</si>
  <si>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</si>
  <si>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</si>
  <si>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</si>
  <si>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</si>
  <si>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</si>
  <si>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</si>
  <si>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</si>
  <si>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</si>
  <si>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</si>
  <si>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</si>
  <si>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</si>
  <si>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</si>
  <si>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</si>
  <si>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</si>
  <si>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</si>
  <si>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</si>
  <si>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</si>
  <si>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</si>
  <si>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</si>
  <si>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</si>
  <si>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</si>
  <si>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</si>
  <si>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</si>
  <si>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</si>
  <si>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</si>
  <si>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</si>
  <si>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</si>
  <si>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</si>
  <si>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</si>
  <si>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</si>
  <si>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</si>
  <si>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</si>
  <si>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</si>
  <si>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</si>
  <si>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</si>
  <si>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</si>
  <si>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</si>
  <si>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</si>
  <si>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</si>
  <si>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</si>
  <si>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</si>
  <si>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</si>
  <si>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</si>
  <si>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</si>
  <si>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</si>
  <si>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</si>
  <si>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</si>
  <si>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</si>
  <si>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</si>
  <si>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</si>
  <si>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</si>
  <si>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</si>
  <si>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</si>
  <si>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</si>
  <si>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</si>
  <si>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</si>
  <si>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</si>
  <si>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</si>
  <si>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</si>
  <si>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</si>
  <si>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</si>
  <si>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</si>
  <si>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</si>
  <si>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</si>
  <si>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</si>
  <si>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</si>
  <si>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</si>
  <si>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</si>
  <si>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</si>
  <si>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</si>
  <si>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</si>
  <si>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</si>
  <si>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</si>
  <si>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</si>
  <si>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</si>
  <si>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</si>
  <si>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</si>
  <si>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</si>
  <si>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</si>
  <si>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</si>
  <si>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</si>
  <si>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</si>
  <si>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</si>
  <si>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</si>
  <si>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</si>
  <si>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</si>
  <si>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</si>
  <si>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</si>
  <si>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</si>
  <si>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</si>
  <si>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</si>
  <si>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</si>
  <si>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</si>
  <si>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</si>
  <si>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</si>
  <si>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</si>
  <si>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</si>
  <si>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</si>
  <si>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</si>
  <si>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</si>
  <si>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</si>
  <si>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</si>
  <si>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</si>
  <si>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注：本表反映部门本年度政府性基金预算财政拨款收入、支出及结转和结余情况。</t>
  </si>
  <si>
    <t>国有资本经营预算财政拨款支出决算表</t>
  </si>
  <si>
    <t>公开08表</t>
  </si>
  <si>
    <t>注：本表反映部门本年度国有资本经营预算财政拨款收入、支出及结转和结余情况。</t>
  </si>
  <si>
    <t>— 8.%d —</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</si>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</sst>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_);_(\$* \(#,##0\);_(\$* &quot;-&quot;_);_(@_)"/>
    <numFmt numFmtId="177" formatCode="_(\$* #,##0.00_);_(\$* \(#,##0.00\);_(\$* &quot;-&quot;??_);_(@_)"/>
    <numFmt numFmtId="178" formatCode="_(* #,##0.00_);_(* \(#,##0.00\);_(* &quot;-&quot;??_);_(@_)"/>
    <numFmt numFmtId="179" formatCode="#,##0.00_ "/>
  </numFmts>
  <fonts count="41">
    <font>
      <sz val="10"/>
      <color indexed="8"/>
      <name val="Arial"/>
      <charset val="0"/>
    </font>
    <font>
      <sz val="9"/>
      <color indexed="8"/>
      <name val="宋体"/>
      <charset val="134"/>
      <scheme val="minor"/>
    </font>
    <font>
      <b/>
      <sz val="9"/>
      <color indexed="8"/>
      <name val="宋体"/>
      <charset val="134"/>
      <scheme val="minor"/>
    </font>
    <font>
      <b/>
      <sz val="12"/>
      <color indexed="8"/>
      <name val="宋体"/>
      <charset val="134"/>
    </font>
    <font>
      <b/>
      <sz val="12"/>
      <color indexed="8"/>
      <name val="Arial"/>
      <charset val="0"/>
    </font>
    <font>
      <sz val="9"/>
      <color rgb="FF000000"/>
      <name val="宋体"/>
      <charset val="134"/>
    </font>
    <font>
      <sz val="10"/>
      <color indexed="8"/>
      <name val="宋体"/>
      <charset val="134"/>
    </font>
    <font>
      <sz val="9"/>
      <color indexed="8"/>
      <name val="宋体"/>
      <charset val="134"/>
    </font>
    <font>
      <b/>
      <sz val="11"/>
      <color indexed="8"/>
      <name val="宋体"/>
      <charset val="134"/>
      <scheme val="minor"/>
    </font>
    <font>
      <sz val="11"/>
      <color indexed="8"/>
      <name val="宋体"/>
      <charset val="134"/>
      <scheme val="minor"/>
    </font>
    <font>
      <b/>
      <sz val="10"/>
      <color indexed="8"/>
      <name val="Arial"/>
      <charset val="0"/>
    </font>
    <font>
      <b/>
      <sz val="9"/>
      <color rgb="FF000000"/>
      <name val="宋体"/>
      <charset val="134"/>
    </font>
    <font>
      <sz val="11"/>
      <color indexed="8"/>
      <name val="宋体"/>
      <charset val="134"/>
    </font>
    <font>
      <sz val="9"/>
      <color indexed="8"/>
      <name val="Arial"/>
      <charset val="0"/>
    </font>
    <font>
      <b/>
      <sz val="9"/>
      <color indexed="8"/>
      <name val="Arial"/>
      <charset val="0"/>
    </font>
    <font>
      <b/>
      <sz val="9"/>
      <color indexed="8"/>
      <name val="宋体"/>
      <charset val="134"/>
    </font>
    <font>
      <b/>
      <sz val="9"/>
      <color rgb="FF000000"/>
      <name val="宋体"/>
      <charset val="134"/>
      <scheme val="minor"/>
    </font>
    <font>
      <sz val="9"/>
      <color rgb="FF000000"/>
      <name val="宋体"/>
      <charset val="134"/>
      <scheme val="minor"/>
    </font>
    <font>
      <sz val="9"/>
      <color indexed="8"/>
      <name val="宋体"/>
      <charset val="134"/>
      <scheme val="major"/>
    </font>
    <font>
      <b/>
      <sz val="9"/>
      <color indexed="8"/>
      <name val="宋体"/>
      <charset val="134"/>
      <scheme val="major"/>
    </font>
    <font>
      <sz val="9"/>
      <color rgb="FF000000"/>
      <name val="宋体"/>
      <charset val="134"/>
      <scheme val="major"/>
    </font>
    <font>
      <b/>
      <sz val="9"/>
      <color rgb="FF000000"/>
      <name val="宋体"/>
      <charset val="134"/>
      <scheme val="maj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style="thin">
        <color auto="1"/>
      </top>
      <bottom style="thin">
        <color indexed="8"/>
      </bottom>
      <diagonal/>
    </border>
    <border>
      <left style="thin">
        <color indexed="8"/>
      </left>
      <right style="thin">
        <color auto="1"/>
      </right>
      <top style="thin">
        <color auto="1"/>
      </top>
      <bottom style="thin">
        <color indexed="8"/>
      </bottom>
      <diagonal/>
    </border>
    <border>
      <left/>
      <right style="thin">
        <color indexed="8"/>
      </right>
      <top/>
      <bottom style="medium">
        <color indexed="8"/>
      </bottom>
      <diagonal/>
    </border>
    <border>
      <left/>
      <right style="thin">
        <color indexed="8"/>
      </right>
      <top/>
      <bottom/>
      <diagonal/>
    </border>
    <border>
      <left style="thin">
        <color indexed="8"/>
      </left>
      <right style="thin">
        <color indexed="8"/>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9" fillId="2" borderId="2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2" applyNumberFormat="0" applyFill="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29" fillId="0" borderId="0" applyNumberFormat="0" applyFill="0" applyBorder="0" applyAlignment="0" applyProtection="0">
      <alignment vertical="center"/>
    </xf>
    <xf numFmtId="0" fontId="30" fillId="3" borderId="24" applyNumberFormat="0" applyAlignment="0" applyProtection="0">
      <alignment vertical="center"/>
    </xf>
    <xf numFmtId="0" fontId="31" fillId="4" borderId="25" applyNumberFormat="0" applyAlignment="0" applyProtection="0">
      <alignment vertical="center"/>
    </xf>
    <xf numFmtId="0" fontId="32" fillId="4" borderId="24" applyNumberFormat="0" applyAlignment="0" applyProtection="0">
      <alignment vertical="center"/>
    </xf>
    <xf numFmtId="0" fontId="33" fillId="5" borderId="26" applyNumberFormat="0" applyAlignment="0" applyProtection="0">
      <alignment vertical="center"/>
    </xf>
    <xf numFmtId="0" fontId="34" fillId="0" borderId="27" applyNumberFormat="0" applyFill="0" applyAlignment="0" applyProtection="0">
      <alignment vertical="center"/>
    </xf>
    <xf numFmtId="0" fontId="35" fillId="0" borderId="28"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cellStyleXfs>
  <cellXfs count="148">
    <xf numFmtId="0" fontId="0" fillId="0" borderId="0" xfId="0"/>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Border="1" applyAlignment="1">
      <alignment vertical="center"/>
    </xf>
    <xf numFmtId="0" fontId="0" fillId="0" borderId="0" xfId="0" applyFill="1"/>
    <xf numFmtId="0" fontId="3" fillId="0" borderId="0" xfId="0" applyFont="1" applyFill="1" applyAlignment="1">
      <alignment horizontal="center" vertical="center"/>
    </xf>
    <xf numFmtId="0" fontId="4" fillId="0" borderId="0" xfId="0" applyFont="1" applyFill="1" applyAlignment="1">
      <alignment vertical="center"/>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wrapText="1" shrinkToFit="1"/>
    </xf>
    <xf numFmtId="0" fontId="2" fillId="0" borderId="4" xfId="0" applyFont="1" applyFill="1" applyBorder="1" applyAlignment="1">
      <alignment horizontal="center" vertical="center" wrapText="1" shrinkToFit="1"/>
    </xf>
    <xf numFmtId="0" fontId="2" fillId="0" borderId="4" xfId="0" applyFont="1" applyFill="1" applyBorder="1" applyAlignment="1">
      <alignment horizontal="center" vertical="center" shrinkToFi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179" fontId="5" fillId="0" borderId="5" xfId="0" applyNumberFormat="1" applyFont="1" applyFill="1" applyBorder="1" applyAlignment="1">
      <alignment horizontal="right" vertical="center"/>
    </xf>
    <xf numFmtId="0" fontId="1" fillId="0" borderId="0" xfId="0" applyFont="1" applyFill="1" applyAlignment="1">
      <alignment horizontal="left" vertical="center" wrapText="1" shrinkToFit="1"/>
    </xf>
    <xf numFmtId="0" fontId="6" fillId="0" borderId="0" xfId="0" applyFont="1" applyFill="1" applyAlignment="1">
      <alignment horizontal="left" vertical="center" wrapText="1" shrinkToFit="1"/>
    </xf>
    <xf numFmtId="0" fontId="7" fillId="0" borderId="0" xfId="0" applyFont="1" applyFill="1" applyAlignment="1">
      <alignment horizontal="center"/>
    </xf>
    <xf numFmtId="0" fontId="1" fillId="0" borderId="0" xfId="0" applyFont="1" applyFill="1" applyAlignment="1">
      <alignment horizontal="right"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2" fillId="0" borderId="1" xfId="0" applyFont="1" applyFill="1" applyBorder="1" applyAlignment="1">
      <alignment horizontal="center" vertical="center" wrapText="1" shrinkToFit="1"/>
    </xf>
    <xf numFmtId="0" fontId="2" fillId="0" borderId="2" xfId="0" applyFont="1" applyFill="1" applyBorder="1" applyAlignment="1">
      <alignment horizontal="center" vertical="center" wrapText="1" shrinkToFit="1"/>
    </xf>
    <xf numFmtId="0" fontId="10" fillId="0" borderId="0" xfId="0" applyFont="1" applyFill="1"/>
    <xf numFmtId="0" fontId="2" fillId="0" borderId="6" xfId="0" applyFont="1" applyFill="1" applyBorder="1" applyAlignment="1">
      <alignment horizontal="center" vertical="center" wrapText="1" shrinkToFit="1"/>
    </xf>
    <xf numFmtId="179" fontId="11" fillId="0" borderId="6" xfId="0" applyNumberFormat="1" applyFont="1" applyFill="1" applyBorder="1" applyAlignment="1">
      <alignment horizontal="right" vertical="center"/>
    </xf>
    <xf numFmtId="0" fontId="11" fillId="0" borderId="7" xfId="0" applyNumberFormat="1" applyFont="1" applyFill="1" applyBorder="1" applyAlignment="1">
      <alignment horizontal="left" vertical="center"/>
    </xf>
    <xf numFmtId="179" fontId="11" fillId="0" borderId="7" xfId="0" applyNumberFormat="1" applyFont="1" applyFill="1" applyBorder="1" applyAlignment="1">
      <alignment horizontal="right" vertical="center"/>
    </xf>
    <xf numFmtId="0" fontId="5" fillId="0" borderId="7" xfId="0" applyNumberFormat="1" applyFont="1" applyFill="1" applyBorder="1" applyAlignment="1">
      <alignment horizontal="left" vertical="center"/>
    </xf>
    <xf numFmtId="179" fontId="5" fillId="0" borderId="6" xfId="0" applyNumberFormat="1" applyFont="1" applyFill="1" applyBorder="1" applyAlignment="1">
      <alignment horizontal="right" vertical="center"/>
    </xf>
    <xf numFmtId="179" fontId="5" fillId="0" borderId="7" xfId="0" applyNumberFormat="1" applyFont="1" applyFill="1" applyBorder="1" applyAlignment="1">
      <alignment horizontal="right" vertical="center"/>
    </xf>
    <xf numFmtId="0" fontId="1" fillId="0" borderId="7" xfId="0" applyFont="1" applyFill="1" applyBorder="1" applyAlignment="1">
      <alignment horizontal="left" vertical="center" shrinkToFit="1"/>
    </xf>
    <xf numFmtId="179" fontId="1" fillId="0" borderId="7" xfId="0" applyNumberFormat="1" applyFont="1" applyFill="1" applyBorder="1" applyAlignment="1">
      <alignment horizontal="right" vertical="center" shrinkToFit="1"/>
    </xf>
    <xf numFmtId="0" fontId="1" fillId="0" borderId="8" xfId="0" applyFont="1" applyFill="1" applyBorder="1" applyAlignment="1">
      <alignment horizontal="left" vertical="center" shrinkToFit="1"/>
    </xf>
    <xf numFmtId="179" fontId="1" fillId="0" borderId="8" xfId="0" applyNumberFormat="1" applyFont="1" applyFill="1" applyBorder="1" applyAlignment="1">
      <alignment horizontal="right" vertical="center" shrinkToFit="1"/>
    </xf>
    <xf numFmtId="0" fontId="1" fillId="0" borderId="3" xfId="0" applyFont="1" applyFill="1" applyBorder="1" applyAlignment="1">
      <alignment horizontal="left" vertical="center" shrinkToFit="1"/>
    </xf>
    <xf numFmtId="0" fontId="1" fillId="0" borderId="4" xfId="0" applyFont="1" applyFill="1" applyBorder="1" applyAlignment="1">
      <alignment horizontal="left" vertical="center" shrinkToFit="1"/>
    </xf>
    <xf numFmtId="179" fontId="1" fillId="0" borderId="4" xfId="0" applyNumberFormat="1" applyFont="1" applyFill="1" applyBorder="1" applyAlignment="1">
      <alignment horizontal="right" vertical="center" shrinkToFit="1"/>
    </xf>
    <xf numFmtId="0" fontId="1" fillId="0" borderId="0" xfId="0" applyFont="1" applyFill="1" applyAlignment="1">
      <alignment horizontal="left" vertical="center" shrinkToFit="1"/>
    </xf>
    <xf numFmtId="0" fontId="12" fillId="0" borderId="0" xfId="0" applyFont="1" applyFill="1" applyAlignment="1">
      <alignment horizontal="left" vertical="center" shrinkToFit="1"/>
    </xf>
    <xf numFmtId="0" fontId="6" fillId="0" borderId="0" xfId="0" applyFont="1" applyFill="1" applyAlignment="1">
      <alignment horizontal="left" vertical="center" shrinkToFit="1"/>
    </xf>
    <xf numFmtId="0" fontId="6" fillId="0" borderId="0" xfId="0" applyFont="1" applyFill="1" applyAlignment="1">
      <alignment horizontal="center"/>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wrapText="1" shrinkToFit="1"/>
    </xf>
    <xf numFmtId="0" fontId="5" fillId="0" borderId="8" xfId="0" applyNumberFormat="1" applyFont="1" applyFill="1" applyBorder="1" applyAlignment="1">
      <alignment horizontal="left" vertical="center"/>
    </xf>
    <xf numFmtId="179" fontId="5" fillId="0" borderId="8" xfId="0" applyNumberFormat="1" applyFont="1" applyFill="1" applyBorder="1" applyAlignment="1">
      <alignment horizontal="right" vertical="center"/>
    </xf>
    <xf numFmtId="0" fontId="2" fillId="0" borderId="3" xfId="0" applyFont="1" applyFill="1" applyBorder="1" applyAlignment="1">
      <alignment horizontal="left" vertical="center" shrinkToFit="1"/>
    </xf>
    <xf numFmtId="0" fontId="2" fillId="0" borderId="4" xfId="0" applyFont="1" applyFill="1" applyBorder="1" applyAlignment="1">
      <alignment horizontal="left" vertical="center" shrinkToFit="1"/>
    </xf>
    <xf numFmtId="179" fontId="2" fillId="0" borderId="4" xfId="0" applyNumberFormat="1" applyFont="1" applyFill="1" applyBorder="1" applyAlignment="1">
      <alignment horizontal="right" vertical="center" shrinkToFit="1"/>
    </xf>
    <xf numFmtId="0" fontId="2" fillId="0" borderId="3" xfId="0" applyFont="1" applyFill="1" applyBorder="1" applyAlignment="1">
      <alignment horizontal="center" vertical="center" shrinkToFit="1"/>
    </xf>
    <xf numFmtId="0" fontId="11" fillId="0" borderId="6" xfId="0" applyNumberFormat="1" applyFont="1" applyFill="1" applyBorder="1" applyAlignment="1">
      <alignment horizontal="left" vertical="center"/>
    </xf>
    <xf numFmtId="179" fontId="11" fillId="0" borderId="9" xfId="0" applyNumberFormat="1" applyFont="1" applyFill="1" applyBorder="1" applyAlignment="1">
      <alignment horizontal="right" vertical="center"/>
    </xf>
    <xf numFmtId="179" fontId="5" fillId="0" borderId="10" xfId="0" applyNumberFormat="1" applyFont="1" applyFill="1" applyBorder="1" applyAlignment="1">
      <alignment horizontal="right" vertical="center"/>
    </xf>
    <xf numFmtId="179" fontId="11" fillId="0" borderId="10" xfId="0" applyNumberFormat="1" applyFont="1" applyFill="1" applyBorder="1" applyAlignment="1">
      <alignment horizontal="right" vertical="center"/>
    </xf>
    <xf numFmtId="179" fontId="5" fillId="0" borderId="11" xfId="0" applyNumberFormat="1" applyFont="1" applyFill="1" applyBorder="1" applyAlignment="1">
      <alignment horizontal="right" vertical="center"/>
    </xf>
    <xf numFmtId="0" fontId="13" fillId="0" borderId="0" xfId="0" applyFont="1" applyFill="1" applyAlignment="1">
      <alignment vertical="center"/>
    </xf>
    <xf numFmtId="0" fontId="14" fillId="0" borderId="0" xfId="0" applyFont="1" applyFill="1" applyAlignment="1">
      <alignment vertical="center"/>
    </xf>
    <xf numFmtId="0" fontId="7" fillId="0" borderId="0" xfId="0" applyFont="1" applyFill="1" applyAlignment="1">
      <alignment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3" xfId="0" applyFont="1" applyFill="1" applyBorder="1" applyAlignment="1">
      <alignment horizontal="center" vertical="center"/>
    </xf>
    <xf numFmtId="0" fontId="7" fillId="0" borderId="3" xfId="0" applyFont="1" applyFill="1" applyBorder="1" applyAlignment="1">
      <alignment horizontal="left" vertical="center"/>
    </xf>
    <xf numFmtId="0" fontId="7" fillId="0" borderId="4" xfId="0" applyFont="1" applyFill="1" applyBorder="1" applyAlignment="1">
      <alignment horizontal="center" vertical="center"/>
    </xf>
    <xf numFmtId="179" fontId="5" fillId="0" borderId="12" xfId="0" applyNumberFormat="1" applyFont="1" applyFill="1" applyBorder="1" applyAlignment="1">
      <alignment horizontal="right" vertical="center"/>
    </xf>
    <xf numFmtId="0" fontId="7" fillId="0" borderId="4" xfId="0" applyFont="1" applyFill="1" applyBorder="1" applyAlignment="1">
      <alignment horizontal="left" vertical="center"/>
    </xf>
    <xf numFmtId="179" fontId="5" fillId="0" borderId="13" xfId="0" applyNumberFormat="1" applyFont="1" applyFill="1" applyBorder="1" applyAlignment="1">
      <alignment horizontal="right" vertical="center"/>
    </xf>
    <xf numFmtId="179" fontId="5" fillId="0" borderId="14" xfId="0" applyNumberFormat="1" applyFont="1" applyFill="1" applyBorder="1" applyAlignment="1">
      <alignment horizontal="right" vertical="center"/>
    </xf>
    <xf numFmtId="179" fontId="5" fillId="0" borderId="15" xfId="0" applyNumberFormat="1" applyFont="1" applyFill="1" applyBorder="1" applyAlignment="1">
      <alignment horizontal="right" vertical="center"/>
    </xf>
    <xf numFmtId="179" fontId="7" fillId="0" borderId="14" xfId="0" applyNumberFormat="1" applyFont="1" applyFill="1" applyBorder="1" applyAlignment="1">
      <alignment horizontal="right" vertical="center" shrinkToFit="1"/>
    </xf>
    <xf numFmtId="179" fontId="15" fillId="0" borderId="14" xfId="0" applyNumberFormat="1" applyFont="1" applyFill="1" applyBorder="1" applyAlignment="1">
      <alignment horizontal="right" vertical="center" shrinkToFit="1"/>
    </xf>
    <xf numFmtId="179" fontId="11" fillId="0" borderId="15" xfId="0" applyNumberFormat="1" applyFont="1" applyFill="1" applyBorder="1" applyAlignment="1">
      <alignment horizontal="right" vertical="center"/>
    </xf>
    <xf numFmtId="179" fontId="15" fillId="0" borderId="7" xfId="0" applyNumberFormat="1" applyFont="1" applyFill="1" applyBorder="1" applyAlignment="1">
      <alignment horizontal="right" vertical="center" shrinkToFit="1"/>
    </xf>
    <xf numFmtId="179" fontId="7" fillId="0" borderId="16" xfId="0" applyNumberFormat="1" applyFont="1" applyFill="1" applyBorder="1" applyAlignment="1">
      <alignment horizontal="right" vertical="center" shrinkToFit="1"/>
    </xf>
    <xf numFmtId="179" fontId="7" fillId="0" borderId="15" xfId="0" applyNumberFormat="1" applyFont="1" applyFill="1" applyBorder="1" applyAlignment="1">
      <alignment horizontal="right" vertical="center" shrinkToFit="1"/>
    </xf>
    <xf numFmtId="179" fontId="7" fillId="0" borderId="7" xfId="0" applyNumberFormat="1" applyFont="1" applyFill="1" applyBorder="1" applyAlignment="1">
      <alignment horizontal="right" vertical="center" shrinkToFit="1"/>
    </xf>
    <xf numFmtId="179" fontId="7" fillId="0" borderId="4" xfId="0" applyNumberFormat="1" applyFont="1" applyFill="1" applyBorder="1" applyAlignment="1">
      <alignment horizontal="right" vertical="center" shrinkToFit="1"/>
    </xf>
    <xf numFmtId="179" fontId="7" fillId="0" borderId="17" xfId="0" applyNumberFormat="1" applyFont="1" applyFill="1" applyBorder="1" applyAlignment="1">
      <alignment horizontal="right" vertical="center" shrinkToFit="1"/>
    </xf>
    <xf numFmtId="179" fontId="7" fillId="0" borderId="8" xfId="0" applyNumberFormat="1" applyFont="1" applyFill="1" applyBorder="1" applyAlignment="1">
      <alignment horizontal="right" vertical="center" shrinkToFit="1"/>
    </xf>
    <xf numFmtId="0" fontId="15" fillId="0" borderId="18" xfId="0" applyFont="1" applyFill="1" applyBorder="1" applyAlignment="1">
      <alignment horizontal="center" vertical="center"/>
    </xf>
    <xf numFmtId="179" fontId="15" fillId="0" borderId="4" xfId="0" applyNumberFormat="1" applyFont="1" applyFill="1" applyBorder="1" applyAlignment="1">
      <alignment horizontal="right" vertical="center" shrinkToFit="1"/>
    </xf>
    <xf numFmtId="0" fontId="7" fillId="0" borderId="0" xfId="0" applyFont="1" applyFill="1" applyAlignment="1">
      <alignment horizontal="left" vertical="center" wrapText="1"/>
    </xf>
    <xf numFmtId="0" fontId="7" fillId="0" borderId="0" xfId="0" applyFont="1" applyFill="1" applyAlignment="1">
      <alignment horizontal="right" vertical="center"/>
    </xf>
    <xf numFmtId="179" fontId="5" fillId="0" borderId="9" xfId="0" applyNumberFormat="1" applyFont="1" applyFill="1" applyBorder="1" applyAlignment="1">
      <alignment horizontal="right" vertical="center"/>
    </xf>
    <xf numFmtId="179" fontId="15" fillId="0" borderId="10" xfId="0" applyNumberFormat="1" applyFont="1" applyFill="1" applyBorder="1" applyAlignment="1">
      <alignment horizontal="right" vertical="center" shrinkToFit="1"/>
    </xf>
    <xf numFmtId="179" fontId="7" fillId="0" borderId="10" xfId="0" applyNumberFormat="1" applyFont="1" applyFill="1" applyBorder="1" applyAlignment="1">
      <alignment horizontal="right" vertical="center" shrinkToFit="1"/>
    </xf>
    <xf numFmtId="179" fontId="7" fillId="0" borderId="11" xfId="0" applyNumberFormat="1" applyFont="1" applyFill="1" applyBorder="1" applyAlignment="1">
      <alignment horizontal="right" vertical="center" shrinkToFit="1"/>
    </xf>
    <xf numFmtId="0" fontId="15"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2" xfId="0" applyFont="1" applyFill="1" applyBorder="1" applyAlignment="1">
      <alignment horizontal="center" vertical="center" wrapText="1" shrinkToFit="1"/>
    </xf>
    <xf numFmtId="0" fontId="15" fillId="0" borderId="3"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4"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6" xfId="0" applyFont="1" applyFill="1" applyBorder="1" applyAlignment="1">
      <alignment horizontal="center" vertical="center" wrapText="1" shrinkToFit="1"/>
    </xf>
    <xf numFmtId="0" fontId="2" fillId="0" borderId="7" xfId="0" applyFont="1" applyFill="1" applyBorder="1" applyAlignment="1">
      <alignment horizontal="center" vertical="center" shrinkToFit="1"/>
    </xf>
    <xf numFmtId="179" fontId="16" fillId="0" borderId="7" xfId="0" applyNumberFormat="1" applyFont="1" applyFill="1" applyBorder="1" applyAlignment="1">
      <alignment horizontal="right" vertical="center"/>
    </xf>
    <xf numFmtId="0" fontId="16" fillId="0" borderId="7" xfId="0" applyNumberFormat="1" applyFont="1" applyFill="1" applyBorder="1" applyAlignment="1">
      <alignment horizontal="left" vertical="center"/>
    </xf>
    <xf numFmtId="0" fontId="17" fillId="0" borderId="7" xfId="0" applyNumberFormat="1" applyFont="1" applyFill="1" applyBorder="1" applyAlignment="1">
      <alignment horizontal="left" vertical="center"/>
    </xf>
    <xf numFmtId="179" fontId="17" fillId="0" borderId="7" xfId="0" applyNumberFormat="1" applyFont="1" applyFill="1" applyBorder="1" applyAlignment="1">
      <alignment horizontal="right" vertical="center"/>
    </xf>
    <xf numFmtId="0" fontId="17" fillId="0" borderId="8" xfId="0" applyNumberFormat="1" applyFont="1" applyFill="1" applyBorder="1" applyAlignment="1">
      <alignment horizontal="left" vertical="center"/>
    </xf>
    <xf numFmtId="179" fontId="17" fillId="0" borderId="8" xfId="0" applyNumberFormat="1" applyFont="1" applyFill="1" applyBorder="1" applyAlignment="1">
      <alignment horizontal="right" vertical="center"/>
    </xf>
    <xf numFmtId="0" fontId="7" fillId="0" borderId="0" xfId="0" applyFont="1" applyFill="1" applyAlignment="1">
      <alignment horizontal="left" vertical="center" shrinkToFit="1"/>
    </xf>
    <xf numFmtId="0" fontId="15" fillId="0" borderId="9" xfId="0" applyFont="1" applyFill="1" applyBorder="1" applyAlignment="1">
      <alignment horizontal="center" vertical="center" wrapText="1" shrinkToFit="1"/>
    </xf>
    <xf numFmtId="0" fontId="2" fillId="0" borderId="0" xfId="0" applyFont="1" applyFill="1"/>
    <xf numFmtId="0" fontId="1" fillId="0" borderId="0" xfId="0" applyFont="1" applyFill="1"/>
    <xf numFmtId="179" fontId="17" fillId="0" borderId="10" xfId="0" applyNumberFormat="1" applyFont="1" applyFill="1" applyBorder="1" applyAlignment="1">
      <alignment horizontal="right" vertical="center"/>
    </xf>
    <xf numFmtId="179" fontId="17" fillId="0" borderId="11" xfId="0" applyNumberFormat="1" applyFont="1" applyFill="1" applyBorder="1" applyAlignment="1">
      <alignment horizontal="right" vertical="center"/>
    </xf>
    <xf numFmtId="0" fontId="2" fillId="0" borderId="9" xfId="0" applyFont="1" applyFill="1" applyBorder="1" applyAlignment="1">
      <alignment horizontal="center" vertical="center" wrapText="1" shrinkToFit="1"/>
    </xf>
    <xf numFmtId="0" fontId="14" fillId="0" borderId="0" xfId="0" applyFont="1" applyFill="1"/>
    <xf numFmtId="0" fontId="13" fillId="0" borderId="0" xfId="0" applyFont="1" applyFill="1"/>
    <xf numFmtId="0" fontId="18" fillId="0" borderId="0" xfId="0" applyFont="1" applyFill="1" applyAlignment="1">
      <alignment vertical="center"/>
    </xf>
    <xf numFmtId="0" fontId="19" fillId="0" borderId="0" xfId="0" applyFont="1" applyFill="1" applyAlignment="1">
      <alignment vertical="center"/>
    </xf>
    <xf numFmtId="0" fontId="4" fillId="0" borderId="0" xfId="0" applyFont="1" applyFill="1" applyAlignment="1">
      <alignment horizontal="center" vertical="center"/>
    </xf>
    <xf numFmtId="0" fontId="18" fillId="0" borderId="0" xfId="0" applyFont="1" applyFill="1" applyAlignment="1">
      <alignment horizontal="right"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18" fillId="0" borderId="3" xfId="0" applyFont="1" applyFill="1" applyBorder="1" applyAlignment="1">
      <alignment horizontal="left" vertical="center" shrinkToFit="1"/>
    </xf>
    <xf numFmtId="0" fontId="18" fillId="0" borderId="4" xfId="0" applyFont="1" applyFill="1" applyBorder="1" applyAlignment="1">
      <alignment horizontal="center" vertical="center" shrinkToFit="1"/>
    </xf>
    <xf numFmtId="179" fontId="18" fillId="0" borderId="12" xfId="0" applyNumberFormat="1" applyFont="1" applyFill="1" applyBorder="1" applyAlignment="1">
      <alignment horizontal="right" vertical="center" shrinkToFit="1"/>
    </xf>
    <xf numFmtId="0" fontId="18" fillId="0" borderId="4" xfId="0" applyFont="1" applyFill="1" applyBorder="1" applyAlignment="1">
      <alignment horizontal="left" vertical="center" shrinkToFit="1"/>
    </xf>
    <xf numFmtId="179" fontId="20" fillId="0" borderId="12" xfId="0" applyNumberFormat="1" applyFont="1" applyFill="1" applyBorder="1" applyAlignment="1">
      <alignment horizontal="right" vertical="center"/>
    </xf>
    <xf numFmtId="179" fontId="20" fillId="0" borderId="14" xfId="0" applyNumberFormat="1" applyFont="1" applyFill="1" applyBorder="1" applyAlignment="1">
      <alignment horizontal="right" vertical="center"/>
    </xf>
    <xf numFmtId="179" fontId="18" fillId="0" borderId="14" xfId="0" applyNumberFormat="1" applyFont="1" applyFill="1" applyBorder="1" applyAlignment="1">
      <alignment horizontal="right" vertical="center" shrinkToFit="1"/>
    </xf>
    <xf numFmtId="0" fontId="18" fillId="0" borderId="19" xfId="0" applyFont="1" applyFill="1" applyBorder="1" applyAlignment="1">
      <alignment horizontal="center" vertical="center" shrinkToFit="1"/>
    </xf>
    <xf numFmtId="179" fontId="18" fillId="0" borderId="20" xfId="0" applyNumberFormat="1" applyFont="1" applyFill="1" applyBorder="1" applyAlignment="1">
      <alignment horizontal="right" vertical="center" shrinkToFit="1"/>
    </xf>
    <xf numFmtId="0" fontId="18" fillId="0" borderId="19" xfId="0" applyFont="1" applyFill="1" applyBorder="1" applyAlignment="1">
      <alignment horizontal="left" vertical="center" shrinkToFit="1"/>
    </xf>
    <xf numFmtId="179" fontId="20" fillId="0" borderId="20" xfId="0" applyNumberFormat="1" applyFont="1" applyFill="1" applyBorder="1" applyAlignment="1">
      <alignment horizontal="right" vertical="center"/>
    </xf>
    <xf numFmtId="0" fontId="18" fillId="0" borderId="15" xfId="0" applyFont="1" applyFill="1" applyBorder="1" applyAlignment="1">
      <alignment horizontal="center" vertical="center" shrinkToFit="1"/>
    </xf>
    <xf numFmtId="179" fontId="18" fillId="0" borderId="7" xfId="0" applyNumberFormat="1" applyFont="1" applyFill="1" applyBorder="1" applyAlignment="1">
      <alignment horizontal="right" vertical="center" shrinkToFit="1"/>
    </xf>
    <xf numFmtId="0" fontId="18" fillId="0" borderId="7" xfId="0" applyFont="1" applyFill="1" applyBorder="1" applyAlignment="1">
      <alignment horizontal="left" vertical="center" shrinkToFit="1"/>
    </xf>
    <xf numFmtId="0" fontId="18" fillId="0" borderId="7" xfId="0" applyFont="1" applyFill="1" applyBorder="1" applyAlignment="1">
      <alignment horizontal="center" vertical="center" shrinkToFit="1"/>
    </xf>
    <xf numFmtId="179" fontId="20" fillId="0" borderId="10" xfId="0" applyNumberFormat="1" applyFont="1" applyFill="1" applyBorder="1" applyAlignment="1">
      <alignment horizontal="right" vertical="center"/>
    </xf>
    <xf numFmtId="179" fontId="18" fillId="0" borderId="10" xfId="0" applyNumberFormat="1" applyFont="1" applyFill="1" applyBorder="1" applyAlignment="1">
      <alignment horizontal="right" vertical="center" shrinkToFit="1"/>
    </xf>
    <xf numFmtId="0" fontId="19" fillId="0" borderId="15" xfId="0" applyFont="1" applyFill="1" applyBorder="1" applyAlignment="1">
      <alignment horizontal="center" vertical="center" shrinkToFit="1"/>
    </xf>
    <xf numFmtId="179" fontId="19" fillId="0" borderId="7" xfId="0" applyNumberFormat="1" applyFont="1" applyFill="1" applyBorder="1" applyAlignment="1">
      <alignment horizontal="right" vertical="center" shrinkToFit="1"/>
    </xf>
    <xf numFmtId="0" fontId="19" fillId="0" borderId="7" xfId="0" applyFont="1" applyFill="1" applyBorder="1" applyAlignment="1">
      <alignment horizontal="center" vertical="center" shrinkToFit="1"/>
    </xf>
    <xf numFmtId="179" fontId="21" fillId="0" borderId="10" xfId="0" applyNumberFormat="1" applyFont="1" applyFill="1" applyBorder="1" applyAlignment="1">
      <alignment horizontal="right" vertical="center"/>
    </xf>
    <xf numFmtId="0" fontId="19" fillId="0" borderId="17" xfId="0" applyFont="1" applyFill="1" applyBorder="1" applyAlignment="1">
      <alignment horizontal="center" vertical="center" shrinkToFit="1"/>
    </xf>
    <xf numFmtId="179" fontId="19" fillId="0" borderId="8" xfId="0" applyNumberFormat="1" applyFont="1" applyFill="1" applyBorder="1" applyAlignment="1">
      <alignment horizontal="right" vertical="center" shrinkToFit="1"/>
    </xf>
    <xf numFmtId="0" fontId="19" fillId="0" borderId="8" xfId="0" applyFont="1" applyFill="1" applyBorder="1" applyAlignment="1">
      <alignment horizontal="center" vertical="center" shrinkToFit="1"/>
    </xf>
    <xf numFmtId="179" fontId="21" fillId="0" borderId="11" xfId="0" applyNumberFormat="1" applyFont="1" applyFill="1" applyBorder="1" applyAlignment="1">
      <alignment horizontal="right" vertical="center"/>
    </xf>
    <xf numFmtId="0" fontId="18"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SheetLayoutView="60" workbookViewId="0">
      <pane xSplit="2" ySplit="6" topLeftCell="C7" activePane="bottomRight" state="frozen"/>
      <selection/>
      <selection pane="topRight"/>
      <selection pane="bottomLeft"/>
      <selection pane="bottomRight" activeCell="C7" sqref="C7:C9"/>
    </sheetView>
  </sheetViews>
  <sheetFormatPr defaultColWidth="8.88571428571429" defaultRowHeight="12.75" outlineLevelCol="5"/>
  <cols>
    <col min="1" max="1" width="39.2857142857143" style="5" customWidth="1"/>
    <col min="2" max="2" width="5.42857142857143" style="5" customWidth="1"/>
    <col min="3" max="3" width="21.4285714285714" style="5" customWidth="1"/>
    <col min="4" max="4" width="40.1333333333333" style="5" customWidth="1"/>
    <col min="5" max="5" width="5.42857142857143" style="5" customWidth="1"/>
    <col min="6" max="6" width="21.4285714285714" style="5" customWidth="1"/>
    <col min="7" max="7" width="9.76190476190476" style="5"/>
    <col min="8" max="16384" width="8.88571428571429" style="5"/>
  </cols>
  <sheetData>
    <row r="1" ht="22" customHeight="1" spans="1:6">
      <c r="A1" s="6" t="s">
        <v>0</v>
      </c>
      <c r="B1" s="116"/>
      <c r="C1" s="6" t="s">
        <v>0</v>
      </c>
      <c r="D1" s="116"/>
      <c r="E1" s="116"/>
      <c r="F1" s="116"/>
    </row>
    <row r="2" s="114" customFormat="1" ht="18" customHeight="1" spans="6:6">
      <c r="F2" s="117" t="s">
        <v>1</v>
      </c>
    </row>
    <row r="3" s="114" customFormat="1" ht="18" customHeight="1" spans="1:6">
      <c r="A3" s="114" t="s">
        <v>2</v>
      </c>
      <c r="F3" s="117" t="s">
        <v>3</v>
      </c>
    </row>
    <row r="4" s="115" customFormat="1" ht="18" customHeight="1" spans="1:6">
      <c r="A4" s="118" t="s">
        <v>4</v>
      </c>
      <c r="B4" s="119" t="s">
        <v>5</v>
      </c>
      <c r="C4" s="119" t="s">
        <v>5</v>
      </c>
      <c r="D4" s="119" t="s">
        <v>6</v>
      </c>
      <c r="E4" s="119" t="s">
        <v>5</v>
      </c>
      <c r="F4" s="119" t="s">
        <v>5</v>
      </c>
    </row>
    <row r="5" s="115" customFormat="1" ht="18" customHeight="1" spans="1:6">
      <c r="A5" s="120" t="s">
        <v>7</v>
      </c>
      <c r="B5" s="121" t="s">
        <v>8</v>
      </c>
      <c r="C5" s="121" t="s">
        <v>9</v>
      </c>
      <c r="D5" s="121" t="s">
        <v>7</v>
      </c>
      <c r="E5" s="121" t="s">
        <v>8</v>
      </c>
      <c r="F5" s="121" t="s">
        <v>9</v>
      </c>
    </row>
    <row r="6" s="115" customFormat="1" ht="18" customHeight="1" spans="1:6">
      <c r="A6" s="120" t="s">
        <v>10</v>
      </c>
      <c r="B6" s="121" t="s">
        <v>5</v>
      </c>
      <c r="C6" s="121" t="s">
        <v>11</v>
      </c>
      <c r="D6" s="121" t="s">
        <v>10</v>
      </c>
      <c r="E6" s="121" t="s">
        <v>5</v>
      </c>
      <c r="F6" s="121" t="s">
        <v>12</v>
      </c>
    </row>
    <row r="7" s="114" customFormat="1" ht="18" customHeight="1" spans="1:6">
      <c r="A7" s="122" t="s">
        <v>13</v>
      </c>
      <c r="B7" s="123" t="s">
        <v>11</v>
      </c>
      <c r="C7" s="124">
        <f>一般公共预算财政拨款支出决算表!E9</f>
        <v>7456.000394</v>
      </c>
      <c r="D7" s="125" t="s">
        <v>14</v>
      </c>
      <c r="E7" s="123" t="s">
        <v>15</v>
      </c>
      <c r="F7" s="126">
        <f>支出决算表!E10</f>
        <v>76.83</v>
      </c>
    </row>
    <row r="8" s="114" customFormat="1" ht="18" customHeight="1" spans="1:6">
      <c r="A8" s="122" t="s">
        <v>16</v>
      </c>
      <c r="B8" s="123" t="s">
        <v>12</v>
      </c>
      <c r="C8" s="127">
        <f>政府性基金预算财政拨款收入支出决算表!F7</f>
        <v>1435.462037</v>
      </c>
      <c r="D8" s="125" t="s">
        <v>17</v>
      </c>
      <c r="E8" s="123" t="s">
        <v>18</v>
      </c>
      <c r="F8" s="128" t="s">
        <v>5</v>
      </c>
    </row>
    <row r="9" s="114" customFormat="1" ht="18" customHeight="1" spans="1:6">
      <c r="A9" s="122" t="s">
        <v>19</v>
      </c>
      <c r="B9" s="123" t="s">
        <v>20</v>
      </c>
      <c r="C9" s="127">
        <f>国有资本经营预算财政拨款支出决算表!E9</f>
        <v>205</v>
      </c>
      <c r="D9" s="125" t="s">
        <v>21</v>
      </c>
      <c r="E9" s="123" t="s">
        <v>22</v>
      </c>
      <c r="F9" s="128" t="s">
        <v>5</v>
      </c>
    </row>
    <row r="10" s="114" customFormat="1" ht="18" customHeight="1" spans="1:6">
      <c r="A10" s="122" t="s">
        <v>23</v>
      </c>
      <c r="B10" s="123" t="s">
        <v>24</v>
      </c>
      <c r="C10" s="128" t="s">
        <v>5</v>
      </c>
      <c r="D10" s="125" t="s">
        <v>25</v>
      </c>
      <c r="E10" s="123" t="s">
        <v>26</v>
      </c>
      <c r="F10" s="128" t="s">
        <v>5</v>
      </c>
    </row>
    <row r="11" s="114" customFormat="1" ht="18" customHeight="1" spans="1:6">
      <c r="A11" s="122" t="s">
        <v>27</v>
      </c>
      <c r="B11" s="123" t="s">
        <v>28</v>
      </c>
      <c r="C11" s="128" t="s">
        <v>5</v>
      </c>
      <c r="D11" s="125" t="s">
        <v>29</v>
      </c>
      <c r="E11" s="123" t="s">
        <v>30</v>
      </c>
      <c r="F11" s="128" t="s">
        <v>5</v>
      </c>
    </row>
    <row r="12" s="114" customFormat="1" ht="18" customHeight="1" spans="1:6">
      <c r="A12" s="122" t="s">
        <v>31</v>
      </c>
      <c r="B12" s="123" t="s">
        <v>32</v>
      </c>
      <c r="C12" s="128" t="s">
        <v>5</v>
      </c>
      <c r="D12" s="125" t="s">
        <v>33</v>
      </c>
      <c r="E12" s="123" t="s">
        <v>34</v>
      </c>
      <c r="F12" s="128" t="s">
        <v>5</v>
      </c>
    </row>
    <row r="13" s="114" customFormat="1" ht="18" customHeight="1" spans="1:6">
      <c r="A13" s="122" t="s">
        <v>35</v>
      </c>
      <c r="B13" s="123" t="s">
        <v>36</v>
      </c>
      <c r="C13" s="128" t="s">
        <v>5</v>
      </c>
      <c r="D13" s="125" t="s">
        <v>37</v>
      </c>
      <c r="E13" s="123" t="s">
        <v>38</v>
      </c>
      <c r="F13" s="128" t="s">
        <v>5</v>
      </c>
    </row>
    <row r="14" s="114" customFormat="1" ht="18" customHeight="1" spans="1:6">
      <c r="A14" s="122" t="s">
        <v>39</v>
      </c>
      <c r="B14" s="123" t="s">
        <v>40</v>
      </c>
      <c r="C14" s="127">
        <f>收入决算表!K9</f>
        <v>4008.587872</v>
      </c>
      <c r="D14" s="125" t="s">
        <v>41</v>
      </c>
      <c r="E14" s="123" t="s">
        <v>42</v>
      </c>
      <c r="F14" s="127">
        <f>支出决算表!E13</f>
        <v>335.113212</v>
      </c>
    </row>
    <row r="15" s="114" customFormat="1" ht="18" customHeight="1" spans="1:6">
      <c r="A15" s="122" t="s">
        <v>5</v>
      </c>
      <c r="B15" s="123" t="s">
        <v>43</v>
      </c>
      <c r="C15" s="128" t="s">
        <v>5</v>
      </c>
      <c r="D15" s="125" t="s">
        <v>44</v>
      </c>
      <c r="E15" s="123" t="s">
        <v>45</v>
      </c>
      <c r="F15" s="127">
        <f>支出决算表!E20</f>
        <v>185.330142</v>
      </c>
    </row>
    <row r="16" s="114" customFormat="1" ht="18" customHeight="1" spans="1:6">
      <c r="A16" s="122" t="s">
        <v>5</v>
      </c>
      <c r="B16" s="123" t="s">
        <v>46</v>
      </c>
      <c r="C16" s="128" t="s">
        <v>5</v>
      </c>
      <c r="D16" s="125" t="s">
        <v>47</v>
      </c>
      <c r="E16" s="123" t="s">
        <v>48</v>
      </c>
      <c r="F16" s="128" t="s">
        <v>5</v>
      </c>
    </row>
    <row r="17" s="114" customFormat="1" ht="18" customHeight="1" spans="1:6">
      <c r="A17" s="122" t="s">
        <v>5</v>
      </c>
      <c r="B17" s="123" t="s">
        <v>49</v>
      </c>
      <c r="C17" s="128" t="s">
        <v>5</v>
      </c>
      <c r="D17" s="125" t="s">
        <v>50</v>
      </c>
      <c r="E17" s="123" t="s">
        <v>51</v>
      </c>
      <c r="F17" s="127">
        <f>支出决算表!E23</f>
        <v>1435.462037</v>
      </c>
    </row>
    <row r="18" s="114" customFormat="1" ht="18" customHeight="1" spans="1:6">
      <c r="A18" s="122" t="s">
        <v>5</v>
      </c>
      <c r="B18" s="123" t="s">
        <v>52</v>
      </c>
      <c r="C18" s="128" t="s">
        <v>5</v>
      </c>
      <c r="D18" s="125" t="s">
        <v>53</v>
      </c>
      <c r="E18" s="123" t="s">
        <v>54</v>
      </c>
      <c r="F18" s="127">
        <f>支出决算表!E29</f>
        <v>190.719843</v>
      </c>
    </row>
    <row r="19" s="114" customFormat="1" ht="18" customHeight="1" spans="1:6">
      <c r="A19" s="122" t="s">
        <v>5</v>
      </c>
      <c r="B19" s="123" t="s">
        <v>55</v>
      </c>
      <c r="C19" s="128" t="s">
        <v>5</v>
      </c>
      <c r="D19" s="125" t="s">
        <v>56</v>
      </c>
      <c r="E19" s="123" t="s">
        <v>57</v>
      </c>
      <c r="F19" s="128" t="s">
        <v>5</v>
      </c>
    </row>
    <row r="20" s="114" customFormat="1" ht="18" customHeight="1" spans="1:6">
      <c r="A20" s="122" t="s">
        <v>5</v>
      </c>
      <c r="B20" s="123" t="s">
        <v>58</v>
      </c>
      <c r="C20" s="128" t="s">
        <v>5</v>
      </c>
      <c r="D20" s="125" t="s">
        <v>59</v>
      </c>
      <c r="E20" s="123" t="s">
        <v>60</v>
      </c>
      <c r="F20" s="128" t="s">
        <v>5</v>
      </c>
    </row>
    <row r="21" s="114" customFormat="1" ht="18" customHeight="1" spans="1:6">
      <c r="A21" s="122" t="s">
        <v>5</v>
      </c>
      <c r="B21" s="123" t="s">
        <v>61</v>
      </c>
      <c r="C21" s="128" t="s">
        <v>5</v>
      </c>
      <c r="D21" s="125" t="s">
        <v>62</v>
      </c>
      <c r="E21" s="123" t="s">
        <v>63</v>
      </c>
      <c r="F21" s="128" t="s">
        <v>5</v>
      </c>
    </row>
    <row r="22" s="114" customFormat="1" ht="18" customHeight="1" spans="1:6">
      <c r="A22" s="122" t="s">
        <v>5</v>
      </c>
      <c r="B22" s="123" t="s">
        <v>64</v>
      </c>
      <c r="C22" s="128" t="s">
        <v>5</v>
      </c>
      <c r="D22" s="125" t="s">
        <v>65</v>
      </c>
      <c r="E22" s="123" t="s">
        <v>66</v>
      </c>
      <c r="F22" s="128" t="s">
        <v>5</v>
      </c>
    </row>
    <row r="23" s="114" customFormat="1" ht="18" customHeight="1" spans="1:6">
      <c r="A23" s="122" t="s">
        <v>5</v>
      </c>
      <c r="B23" s="123" t="s">
        <v>67</v>
      </c>
      <c r="C23" s="128" t="s">
        <v>5</v>
      </c>
      <c r="D23" s="125" t="s">
        <v>68</v>
      </c>
      <c r="E23" s="123" t="s">
        <v>69</v>
      </c>
      <c r="F23" s="128" t="s">
        <v>5</v>
      </c>
    </row>
    <row r="24" s="114" customFormat="1" ht="18" customHeight="1" spans="1:6">
      <c r="A24" s="122" t="s">
        <v>5</v>
      </c>
      <c r="B24" s="123" t="s">
        <v>70</v>
      </c>
      <c r="C24" s="128" t="s">
        <v>5</v>
      </c>
      <c r="D24" s="125" t="s">
        <v>71</v>
      </c>
      <c r="E24" s="123" t="s">
        <v>72</v>
      </c>
      <c r="F24" s="127">
        <f>支出决算表!E32</f>
        <v>5582.165565</v>
      </c>
    </row>
    <row r="25" s="114" customFormat="1" ht="18" customHeight="1" spans="1:6">
      <c r="A25" s="122" t="s">
        <v>5</v>
      </c>
      <c r="B25" s="123" t="s">
        <v>73</v>
      </c>
      <c r="C25" s="128" t="s">
        <v>5</v>
      </c>
      <c r="D25" s="125" t="s">
        <v>74</v>
      </c>
      <c r="E25" s="123" t="s">
        <v>75</v>
      </c>
      <c r="F25" s="127">
        <f>支出决算表!E38</f>
        <v>234.101232</v>
      </c>
    </row>
    <row r="26" s="114" customFormat="1" ht="18" customHeight="1" spans="1:6">
      <c r="A26" s="122" t="s">
        <v>5</v>
      </c>
      <c r="B26" s="123" t="s">
        <v>76</v>
      </c>
      <c r="C26" s="128" t="s">
        <v>5</v>
      </c>
      <c r="D26" s="125" t="s">
        <v>77</v>
      </c>
      <c r="E26" s="123" t="s">
        <v>78</v>
      </c>
      <c r="F26" s="128" t="s">
        <v>5</v>
      </c>
    </row>
    <row r="27" s="114" customFormat="1" ht="18" customHeight="1" spans="1:6">
      <c r="A27" s="122" t="s">
        <v>5</v>
      </c>
      <c r="B27" s="129" t="s">
        <v>79</v>
      </c>
      <c r="C27" s="130" t="s">
        <v>5</v>
      </c>
      <c r="D27" s="131" t="s">
        <v>80</v>
      </c>
      <c r="E27" s="129" t="s">
        <v>81</v>
      </c>
      <c r="F27" s="132">
        <f>支出决算表!E41</f>
        <v>205</v>
      </c>
    </row>
    <row r="28" s="114" customFormat="1" ht="18" customHeight="1" spans="1:6">
      <c r="A28" s="122" t="s">
        <v>5</v>
      </c>
      <c r="B28" s="133" t="s">
        <v>82</v>
      </c>
      <c r="C28" s="134" t="s">
        <v>5</v>
      </c>
      <c r="D28" s="135" t="s">
        <v>83</v>
      </c>
      <c r="E28" s="136" t="s">
        <v>84</v>
      </c>
      <c r="F28" s="137">
        <f>支出决算表!E44</f>
        <v>851.7404</v>
      </c>
    </row>
    <row r="29" s="114" customFormat="1" ht="18" customHeight="1" spans="1:6">
      <c r="A29" s="122" t="s">
        <v>5</v>
      </c>
      <c r="B29" s="133" t="s">
        <v>85</v>
      </c>
      <c r="C29" s="134" t="s">
        <v>5</v>
      </c>
      <c r="D29" s="135" t="s">
        <v>86</v>
      </c>
      <c r="E29" s="136" t="s">
        <v>87</v>
      </c>
      <c r="F29" s="137">
        <f>支出决算表!E47</f>
        <v>4658.105229</v>
      </c>
    </row>
    <row r="30" s="114" customFormat="1" ht="18" customHeight="1" spans="1:6">
      <c r="A30" s="120" t="s">
        <v>5</v>
      </c>
      <c r="B30" s="133" t="s">
        <v>88</v>
      </c>
      <c r="C30" s="134" t="s">
        <v>5</v>
      </c>
      <c r="D30" s="135" t="s">
        <v>89</v>
      </c>
      <c r="E30" s="136" t="s">
        <v>90</v>
      </c>
      <c r="F30" s="138" t="s">
        <v>5</v>
      </c>
    </row>
    <row r="31" s="114" customFormat="1" ht="18" customHeight="1" spans="1:6">
      <c r="A31" s="122" t="s">
        <v>5</v>
      </c>
      <c r="B31" s="133" t="s">
        <v>91</v>
      </c>
      <c r="C31" s="134" t="s">
        <v>5</v>
      </c>
      <c r="D31" s="135" t="s">
        <v>92</v>
      </c>
      <c r="E31" s="136" t="s">
        <v>93</v>
      </c>
      <c r="F31" s="138" t="s">
        <v>5</v>
      </c>
    </row>
    <row r="32" s="114" customFormat="1" ht="18" customHeight="1" spans="1:6">
      <c r="A32" s="122" t="s">
        <v>5</v>
      </c>
      <c r="B32" s="133" t="s">
        <v>94</v>
      </c>
      <c r="C32" s="134" t="s">
        <v>5</v>
      </c>
      <c r="D32" s="135" t="s">
        <v>95</v>
      </c>
      <c r="E32" s="136" t="s">
        <v>96</v>
      </c>
      <c r="F32" s="138" t="s">
        <v>5</v>
      </c>
    </row>
    <row r="33" s="115" customFormat="1" ht="18" customHeight="1" spans="1:6">
      <c r="A33" s="120" t="s">
        <v>97</v>
      </c>
      <c r="B33" s="139" t="s">
        <v>98</v>
      </c>
      <c r="C33" s="140">
        <f>SUM(C7:C32)</f>
        <v>13105.050303</v>
      </c>
      <c r="D33" s="141" t="s">
        <v>99</v>
      </c>
      <c r="E33" s="141" t="s">
        <v>100</v>
      </c>
      <c r="F33" s="142">
        <f>SUM(F7:F32)</f>
        <v>13754.56766</v>
      </c>
    </row>
    <row r="34" s="114" customFormat="1" ht="18" customHeight="1" spans="1:6">
      <c r="A34" s="122" t="s">
        <v>101</v>
      </c>
      <c r="B34" s="133" t="s">
        <v>102</v>
      </c>
      <c r="C34" s="134">
        <f>7874380.24/10000</f>
        <v>787.438024</v>
      </c>
      <c r="D34" s="135" t="s">
        <v>103</v>
      </c>
      <c r="E34" s="136" t="s">
        <v>104</v>
      </c>
      <c r="F34" s="137">
        <f>1379206.67/10000</f>
        <v>137.920667</v>
      </c>
    </row>
    <row r="35" s="114" customFormat="1" ht="18" customHeight="1" spans="1:6">
      <c r="A35" s="122" t="s">
        <v>105</v>
      </c>
      <c r="B35" s="133" t="s">
        <v>106</v>
      </c>
      <c r="C35" s="134" t="s">
        <v>5</v>
      </c>
      <c r="D35" s="135" t="s">
        <v>107</v>
      </c>
      <c r="E35" s="136" t="s">
        <v>108</v>
      </c>
      <c r="F35" s="137" t="s">
        <v>5</v>
      </c>
    </row>
    <row r="36" s="114" customFormat="1" ht="18" customHeight="1" spans="1:6">
      <c r="A36" s="122" t="s">
        <v>5</v>
      </c>
      <c r="B36" s="133" t="s">
        <v>109</v>
      </c>
      <c r="C36" s="134" t="s">
        <v>5</v>
      </c>
      <c r="D36" s="135" t="s">
        <v>5</v>
      </c>
      <c r="E36" s="136" t="s">
        <v>110</v>
      </c>
      <c r="F36" s="137" t="s">
        <v>5</v>
      </c>
    </row>
    <row r="37" s="115" customFormat="1" ht="18" customHeight="1" spans="1:6">
      <c r="A37" s="120" t="s">
        <v>111</v>
      </c>
      <c r="B37" s="143" t="s">
        <v>112</v>
      </c>
      <c r="C37" s="144">
        <f>SUM(C33:C36)</f>
        <v>13892.488327</v>
      </c>
      <c r="D37" s="145" t="s">
        <v>111</v>
      </c>
      <c r="E37" s="145" t="s">
        <v>113</v>
      </c>
      <c r="F37" s="146">
        <f>SUM(F33:F36)</f>
        <v>13892.488327</v>
      </c>
    </row>
    <row r="38" s="114" customFormat="1" ht="18" customHeight="1" spans="1:6">
      <c r="A38" s="147" t="s">
        <v>114</v>
      </c>
      <c r="B38" s="147" t="s">
        <v>5</v>
      </c>
      <c r="C38" s="147" t="s">
        <v>5</v>
      </c>
      <c r="D38" s="147" t="s">
        <v>5</v>
      </c>
      <c r="E38" s="147" t="s">
        <v>5</v>
      </c>
      <c r="F38" s="147" t="s">
        <v>5</v>
      </c>
    </row>
    <row r="39" s="114" customFormat="1" ht="18" customHeight="1" spans="1:6">
      <c r="A39" s="147" t="s">
        <v>115</v>
      </c>
      <c r="B39" s="147" t="s">
        <v>5</v>
      </c>
      <c r="C39" s="147" t="s">
        <v>5</v>
      </c>
      <c r="D39" s="147" t="s">
        <v>5</v>
      </c>
      <c r="E39" s="147" t="s">
        <v>5</v>
      </c>
      <c r="F39" s="147" t="s">
        <v>5</v>
      </c>
    </row>
    <row r="41" spans="3:3">
      <c r="C41" s="42" t="s">
        <v>116</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2"/>
  <sheetViews>
    <sheetView zoomScaleSheetLayoutView="60" workbookViewId="0">
      <pane xSplit="4" ySplit="8" topLeftCell="E9" activePane="bottomRight" state="frozen"/>
      <selection/>
      <selection pane="topRight"/>
      <selection pane="bottomLeft"/>
      <selection pane="bottomRight" activeCell="F12" sqref="F12"/>
    </sheetView>
  </sheetViews>
  <sheetFormatPr defaultColWidth="8.88571428571429" defaultRowHeight="12.75"/>
  <cols>
    <col min="1" max="1" width="4" style="5" customWidth="1"/>
    <col min="2" max="2" width="3.28571428571429" style="5" customWidth="1"/>
    <col min="3" max="3" width="3.42857142857143" style="5" customWidth="1"/>
    <col min="4" max="4" width="37.4285714285714" style="5" customWidth="1"/>
    <col min="5" max="6" width="17.1333333333333" style="5" customWidth="1"/>
    <col min="7" max="7" width="12.7142857142857" style="5" customWidth="1"/>
    <col min="8" max="8" width="17.1333333333333" style="5" customWidth="1"/>
    <col min="9" max="9" width="16.4285714285714" style="5" customWidth="1"/>
    <col min="10" max="10" width="15.847619047619" style="5" customWidth="1"/>
    <col min="11" max="11" width="16.2857142857143" style="5" customWidth="1"/>
    <col min="12" max="12" width="9.76190476190476" style="5"/>
    <col min="13" max="16384" width="8.88571428571429" style="5"/>
  </cols>
  <sheetData>
    <row r="1" s="1" customFormat="1" ht="22" customHeight="1" spans="1:11">
      <c r="A1" s="6" t="s">
        <v>117</v>
      </c>
      <c r="B1" s="7"/>
      <c r="C1" s="7"/>
      <c r="D1" s="7"/>
      <c r="E1" s="7"/>
      <c r="F1" s="6" t="s">
        <v>117</v>
      </c>
      <c r="G1" s="7"/>
      <c r="H1" s="7"/>
      <c r="I1" s="7"/>
      <c r="J1" s="7"/>
      <c r="K1" s="7"/>
    </row>
    <row r="2" s="2" customFormat="1" ht="21" customHeight="1" spans="11:11">
      <c r="K2" s="19" t="s">
        <v>118</v>
      </c>
    </row>
    <row r="3" s="2" customFormat="1" ht="21" customHeight="1" spans="1:11">
      <c r="A3" s="2" t="str">
        <f>收入支出决算总表!A3</f>
        <v>部门：岳阳县自然资源局</v>
      </c>
      <c r="K3" s="19" t="s">
        <v>3</v>
      </c>
    </row>
    <row r="4" s="3" customFormat="1" ht="21" customHeight="1" spans="1:11">
      <c r="A4" s="8" t="s">
        <v>7</v>
      </c>
      <c r="B4" s="9" t="s">
        <v>5</v>
      </c>
      <c r="C4" s="9" t="s">
        <v>5</v>
      </c>
      <c r="D4" s="9" t="s">
        <v>119</v>
      </c>
      <c r="E4" s="23" t="s">
        <v>97</v>
      </c>
      <c r="F4" s="23" t="s">
        <v>120</v>
      </c>
      <c r="G4" s="23" t="s">
        <v>121</v>
      </c>
      <c r="H4" s="23" t="s">
        <v>122</v>
      </c>
      <c r="I4" s="23" t="s">
        <v>123</v>
      </c>
      <c r="J4" s="23" t="s">
        <v>124</v>
      </c>
      <c r="K4" s="23" t="s">
        <v>125</v>
      </c>
    </row>
    <row r="5" s="3" customFormat="1" ht="15" customHeight="1" spans="1:11">
      <c r="A5" s="10" t="s">
        <v>126</v>
      </c>
      <c r="B5" s="11" t="s">
        <v>5</v>
      </c>
      <c r="C5" s="11" t="s">
        <v>5</v>
      </c>
      <c r="D5" s="12" t="s">
        <v>119</v>
      </c>
      <c r="E5" s="11" t="s">
        <v>5</v>
      </c>
      <c r="F5" s="11" t="s">
        <v>5</v>
      </c>
      <c r="G5" s="11" t="s">
        <v>5</v>
      </c>
      <c r="H5" s="11" t="s">
        <v>5</v>
      </c>
      <c r="I5" s="11" t="s">
        <v>5</v>
      </c>
      <c r="J5" s="11" t="s">
        <v>5</v>
      </c>
      <c r="K5" s="11" t="s">
        <v>127</v>
      </c>
    </row>
    <row r="6" s="3" customFormat="1" ht="12" customHeight="1" spans="1:11">
      <c r="A6" s="10" t="s">
        <v>5</v>
      </c>
      <c r="B6" s="11" t="s">
        <v>5</v>
      </c>
      <c r="C6" s="11" t="s">
        <v>5</v>
      </c>
      <c r="D6" s="12" t="s">
        <v>5</v>
      </c>
      <c r="E6" s="11" t="s">
        <v>5</v>
      </c>
      <c r="F6" s="11" t="s">
        <v>5</v>
      </c>
      <c r="G6" s="11" t="s">
        <v>5</v>
      </c>
      <c r="H6" s="11" t="s">
        <v>5</v>
      </c>
      <c r="I6" s="11" t="s">
        <v>5</v>
      </c>
      <c r="J6" s="11" t="s">
        <v>5</v>
      </c>
      <c r="K6" s="11" t="s">
        <v>5</v>
      </c>
    </row>
    <row r="7" s="3" customFormat="1" ht="10" customHeight="1" spans="1:11">
      <c r="A7" s="10" t="s">
        <v>5</v>
      </c>
      <c r="B7" s="11" t="s">
        <v>5</v>
      </c>
      <c r="C7" s="11" t="s">
        <v>5</v>
      </c>
      <c r="D7" s="12" t="s">
        <v>5</v>
      </c>
      <c r="E7" s="11" t="s">
        <v>5</v>
      </c>
      <c r="F7" s="11" t="s">
        <v>5</v>
      </c>
      <c r="G7" s="11" t="s">
        <v>5</v>
      </c>
      <c r="H7" s="11" t="s">
        <v>5</v>
      </c>
      <c r="I7" s="11" t="s">
        <v>5</v>
      </c>
      <c r="J7" s="11" t="s">
        <v>5</v>
      </c>
      <c r="K7" s="11" t="s">
        <v>5</v>
      </c>
    </row>
    <row r="8" s="3" customFormat="1" ht="21" customHeight="1" spans="1:12">
      <c r="A8" s="43" t="s">
        <v>10</v>
      </c>
      <c r="B8" s="43" t="s">
        <v>128</v>
      </c>
      <c r="C8" s="43" t="s">
        <v>129</v>
      </c>
      <c r="D8" s="43" t="s">
        <v>10</v>
      </c>
      <c r="E8" s="25" t="s">
        <v>11</v>
      </c>
      <c r="F8" s="25" t="s">
        <v>12</v>
      </c>
      <c r="G8" s="25" t="s">
        <v>20</v>
      </c>
      <c r="H8" s="25" t="s">
        <v>24</v>
      </c>
      <c r="I8" s="25" t="s">
        <v>28</v>
      </c>
      <c r="J8" s="25" t="s">
        <v>32</v>
      </c>
      <c r="K8" s="111" t="s">
        <v>36</v>
      </c>
      <c r="L8" s="112"/>
    </row>
    <row r="9" s="3" customFormat="1" ht="21" customHeight="1" spans="1:12">
      <c r="A9" s="98" t="s">
        <v>130</v>
      </c>
      <c r="B9" s="98" t="s">
        <v>5</v>
      </c>
      <c r="C9" s="98" t="s">
        <v>5</v>
      </c>
      <c r="D9" s="98" t="s">
        <v>130</v>
      </c>
      <c r="E9" s="28">
        <f>SUM(F9:K9)</f>
        <v>13105.050303</v>
      </c>
      <c r="F9" s="28">
        <f t="shared" ref="F9:K9" si="0">F10+F13+F20+F23+F29+F32+F38+F41+F44+F47</f>
        <v>9096.462431</v>
      </c>
      <c r="G9" s="28">
        <f t="shared" si="0"/>
        <v>0</v>
      </c>
      <c r="H9" s="28">
        <f t="shared" si="0"/>
        <v>0</v>
      </c>
      <c r="I9" s="28">
        <f t="shared" si="0"/>
        <v>0</v>
      </c>
      <c r="J9" s="28">
        <f t="shared" si="0"/>
        <v>0</v>
      </c>
      <c r="K9" s="28">
        <f t="shared" si="0"/>
        <v>4008.587872</v>
      </c>
      <c r="L9" s="112"/>
    </row>
    <row r="10" s="3" customFormat="1" ht="21" customHeight="1" spans="1:12">
      <c r="A10" s="27" t="s">
        <v>131</v>
      </c>
      <c r="B10" s="27"/>
      <c r="C10" s="27"/>
      <c r="D10" s="27" t="s">
        <v>132</v>
      </c>
      <c r="E10" s="28">
        <f>SUM(F10:K10)</f>
        <v>76.83</v>
      </c>
      <c r="F10" s="28">
        <f t="shared" ref="F10:K10" si="1">F11</f>
        <v>76.83</v>
      </c>
      <c r="G10" s="28">
        <f t="shared" si="1"/>
        <v>0</v>
      </c>
      <c r="H10" s="28">
        <f t="shared" si="1"/>
        <v>0</v>
      </c>
      <c r="I10" s="28">
        <f t="shared" si="1"/>
        <v>0</v>
      </c>
      <c r="J10" s="28">
        <f t="shared" si="1"/>
        <v>0</v>
      </c>
      <c r="K10" s="28">
        <f t="shared" si="1"/>
        <v>0</v>
      </c>
      <c r="L10" s="112"/>
    </row>
    <row r="11" s="2" customFormat="1" ht="21" customHeight="1" spans="1:12">
      <c r="A11" s="29" t="s">
        <v>133</v>
      </c>
      <c r="B11" s="29"/>
      <c r="C11" s="29"/>
      <c r="D11" s="29" t="s">
        <v>134</v>
      </c>
      <c r="E11" s="31">
        <f t="shared" ref="E11:E49" si="2">SUM(F11:K11)</f>
        <v>76.83</v>
      </c>
      <c r="F11" s="31">
        <f t="shared" ref="F11:K11" si="3">F12</f>
        <v>76.83</v>
      </c>
      <c r="G11" s="31">
        <f t="shared" si="3"/>
        <v>0</v>
      </c>
      <c r="H11" s="31">
        <f t="shared" si="3"/>
        <v>0</v>
      </c>
      <c r="I11" s="31">
        <f t="shared" si="3"/>
        <v>0</v>
      </c>
      <c r="J11" s="31">
        <f t="shared" si="3"/>
        <v>0</v>
      </c>
      <c r="K11" s="31">
        <f t="shared" si="3"/>
        <v>0</v>
      </c>
      <c r="L11" s="113"/>
    </row>
    <row r="12" s="2" customFormat="1" ht="21" customHeight="1" spans="1:12">
      <c r="A12" s="29" t="s">
        <v>135</v>
      </c>
      <c r="B12" s="29"/>
      <c r="C12" s="29"/>
      <c r="D12" s="29" t="s">
        <v>136</v>
      </c>
      <c r="E12" s="31">
        <f t="shared" si="2"/>
        <v>76.83</v>
      </c>
      <c r="F12" s="31">
        <f>768300/10000</f>
        <v>76.83</v>
      </c>
      <c r="G12" s="31">
        <v>0</v>
      </c>
      <c r="H12" s="31">
        <v>0</v>
      </c>
      <c r="I12" s="31">
        <v>0</v>
      </c>
      <c r="J12" s="31">
        <v>0</v>
      </c>
      <c r="K12" s="53">
        <v>0</v>
      </c>
      <c r="L12" s="113"/>
    </row>
    <row r="13" s="3" customFormat="1" ht="21" customHeight="1" spans="1:12">
      <c r="A13" s="27" t="s">
        <v>137</v>
      </c>
      <c r="B13" s="27"/>
      <c r="C13" s="27"/>
      <c r="D13" s="27" t="s">
        <v>138</v>
      </c>
      <c r="E13" s="28">
        <f t="shared" si="2"/>
        <v>335.113212</v>
      </c>
      <c r="F13" s="28">
        <f t="shared" ref="F13:K13" si="4">F14+F16+F18</f>
        <v>335.113212</v>
      </c>
      <c r="G13" s="28">
        <f t="shared" si="4"/>
        <v>0</v>
      </c>
      <c r="H13" s="28">
        <f t="shared" si="4"/>
        <v>0</v>
      </c>
      <c r="I13" s="28">
        <f t="shared" si="4"/>
        <v>0</v>
      </c>
      <c r="J13" s="28">
        <f t="shared" si="4"/>
        <v>0</v>
      </c>
      <c r="K13" s="28">
        <f t="shared" si="4"/>
        <v>0</v>
      </c>
      <c r="L13" s="112"/>
    </row>
    <row r="14" s="2" customFormat="1" ht="21" customHeight="1" spans="1:12">
      <c r="A14" s="29" t="s">
        <v>139</v>
      </c>
      <c r="B14" s="29"/>
      <c r="C14" s="29"/>
      <c r="D14" s="29" t="s">
        <v>140</v>
      </c>
      <c r="E14" s="31">
        <f t="shared" si="2"/>
        <v>312.134976</v>
      </c>
      <c r="F14" s="31">
        <f t="shared" ref="F14:K14" si="5">F15</f>
        <v>312.134976</v>
      </c>
      <c r="G14" s="31">
        <f t="shared" si="5"/>
        <v>0</v>
      </c>
      <c r="H14" s="31">
        <f t="shared" si="5"/>
        <v>0</v>
      </c>
      <c r="I14" s="31">
        <f t="shared" si="5"/>
        <v>0</v>
      </c>
      <c r="J14" s="31">
        <f t="shared" si="5"/>
        <v>0</v>
      </c>
      <c r="K14" s="31">
        <f t="shared" si="5"/>
        <v>0</v>
      </c>
      <c r="L14" s="113"/>
    </row>
    <row r="15" s="2" customFormat="1" ht="21" customHeight="1" spans="1:12">
      <c r="A15" s="29" t="s">
        <v>141</v>
      </c>
      <c r="B15" s="29"/>
      <c r="C15" s="29"/>
      <c r="D15" s="29" t="s">
        <v>142</v>
      </c>
      <c r="E15" s="31">
        <f t="shared" si="2"/>
        <v>312.134976</v>
      </c>
      <c r="F15" s="31">
        <f>3121349.76/10000</f>
        <v>312.134976</v>
      </c>
      <c r="G15" s="31">
        <v>0</v>
      </c>
      <c r="H15" s="31">
        <v>0</v>
      </c>
      <c r="I15" s="31">
        <v>0</v>
      </c>
      <c r="J15" s="31">
        <v>0</v>
      </c>
      <c r="K15" s="53">
        <v>0</v>
      </c>
      <c r="L15" s="113"/>
    </row>
    <row r="16" s="2" customFormat="1" ht="21" customHeight="1" spans="1:12">
      <c r="A16" s="29" t="s">
        <v>143</v>
      </c>
      <c r="B16" s="29"/>
      <c r="C16" s="29"/>
      <c r="D16" s="29" t="s">
        <v>144</v>
      </c>
      <c r="E16" s="31">
        <f t="shared" si="2"/>
        <v>3.4698</v>
      </c>
      <c r="F16" s="31">
        <f t="shared" ref="F16:K16" si="6">F17</f>
        <v>3.4698</v>
      </c>
      <c r="G16" s="31">
        <f t="shared" si="6"/>
        <v>0</v>
      </c>
      <c r="H16" s="31">
        <f t="shared" si="6"/>
        <v>0</v>
      </c>
      <c r="I16" s="31">
        <f t="shared" si="6"/>
        <v>0</v>
      </c>
      <c r="J16" s="31">
        <f t="shared" si="6"/>
        <v>0</v>
      </c>
      <c r="K16" s="31">
        <f t="shared" si="6"/>
        <v>0</v>
      </c>
      <c r="L16" s="113"/>
    </row>
    <row r="17" s="2" customFormat="1" ht="21" customHeight="1" spans="1:12">
      <c r="A17" s="29" t="s">
        <v>145</v>
      </c>
      <c r="B17" s="29"/>
      <c r="C17" s="29"/>
      <c r="D17" s="29" t="s">
        <v>146</v>
      </c>
      <c r="E17" s="31">
        <f t="shared" si="2"/>
        <v>3.4698</v>
      </c>
      <c r="F17" s="31">
        <f>34698/10000</f>
        <v>3.4698</v>
      </c>
      <c r="G17" s="31">
        <v>0</v>
      </c>
      <c r="H17" s="31">
        <v>0</v>
      </c>
      <c r="I17" s="31">
        <v>0</v>
      </c>
      <c r="J17" s="31">
        <v>0</v>
      </c>
      <c r="K17" s="53">
        <v>0</v>
      </c>
      <c r="L17" s="113"/>
    </row>
    <row r="18" s="2" customFormat="1" ht="21" customHeight="1" spans="1:12">
      <c r="A18" s="29" t="s">
        <v>147</v>
      </c>
      <c r="B18" s="29"/>
      <c r="C18" s="29"/>
      <c r="D18" s="29" t="s">
        <v>148</v>
      </c>
      <c r="E18" s="31">
        <f t="shared" si="2"/>
        <v>19.508436</v>
      </c>
      <c r="F18" s="31">
        <f t="shared" ref="F18:K18" si="7">F19</f>
        <v>19.508436</v>
      </c>
      <c r="G18" s="31">
        <f t="shared" si="7"/>
        <v>0</v>
      </c>
      <c r="H18" s="31">
        <f t="shared" si="7"/>
        <v>0</v>
      </c>
      <c r="I18" s="31">
        <f t="shared" si="7"/>
        <v>0</v>
      </c>
      <c r="J18" s="31">
        <f t="shared" si="7"/>
        <v>0</v>
      </c>
      <c r="K18" s="31">
        <f t="shared" si="7"/>
        <v>0</v>
      </c>
      <c r="L18" s="113"/>
    </row>
    <row r="19" s="2" customFormat="1" ht="21" customHeight="1" spans="1:12">
      <c r="A19" s="29" t="s">
        <v>149</v>
      </c>
      <c r="B19" s="29"/>
      <c r="C19" s="29"/>
      <c r="D19" s="29" t="s">
        <v>148</v>
      </c>
      <c r="E19" s="31">
        <f t="shared" si="2"/>
        <v>19.508436</v>
      </c>
      <c r="F19" s="31">
        <f>195084.36/10000</f>
        <v>19.508436</v>
      </c>
      <c r="G19" s="31">
        <v>0</v>
      </c>
      <c r="H19" s="31">
        <v>0</v>
      </c>
      <c r="I19" s="31">
        <v>0</v>
      </c>
      <c r="J19" s="31">
        <v>0</v>
      </c>
      <c r="K19" s="53">
        <v>0</v>
      </c>
      <c r="L19" s="113"/>
    </row>
    <row r="20" s="3" customFormat="1" ht="21" customHeight="1" spans="1:12">
      <c r="A20" s="27" t="s">
        <v>150</v>
      </c>
      <c r="B20" s="27"/>
      <c r="C20" s="27"/>
      <c r="D20" s="27" t="s">
        <v>151</v>
      </c>
      <c r="E20" s="28">
        <f t="shared" si="2"/>
        <v>185.330142</v>
      </c>
      <c r="F20" s="28">
        <f t="shared" ref="F20:K20" si="8">F21</f>
        <v>185.330142</v>
      </c>
      <c r="G20" s="28">
        <f t="shared" si="8"/>
        <v>0</v>
      </c>
      <c r="H20" s="28">
        <f t="shared" si="8"/>
        <v>0</v>
      </c>
      <c r="I20" s="28">
        <f t="shared" si="8"/>
        <v>0</v>
      </c>
      <c r="J20" s="28">
        <f t="shared" si="8"/>
        <v>0</v>
      </c>
      <c r="K20" s="28">
        <f t="shared" si="8"/>
        <v>0</v>
      </c>
      <c r="L20" s="112"/>
    </row>
    <row r="21" s="2" customFormat="1" ht="21" customHeight="1" spans="1:12">
      <c r="A21" s="29" t="s">
        <v>152</v>
      </c>
      <c r="B21" s="29"/>
      <c r="C21" s="29"/>
      <c r="D21" s="29" t="s">
        <v>153</v>
      </c>
      <c r="E21" s="31">
        <f t="shared" si="2"/>
        <v>185.330142</v>
      </c>
      <c r="F21" s="31">
        <f t="shared" ref="F21:K21" si="9">F22</f>
        <v>185.330142</v>
      </c>
      <c r="G21" s="31">
        <f t="shared" si="9"/>
        <v>0</v>
      </c>
      <c r="H21" s="31">
        <f t="shared" si="9"/>
        <v>0</v>
      </c>
      <c r="I21" s="31">
        <f t="shared" si="9"/>
        <v>0</v>
      </c>
      <c r="J21" s="31">
        <f t="shared" si="9"/>
        <v>0</v>
      </c>
      <c r="K21" s="31">
        <f t="shared" si="9"/>
        <v>0</v>
      </c>
      <c r="L21" s="113"/>
    </row>
    <row r="22" s="2" customFormat="1" ht="21" customHeight="1" spans="1:12">
      <c r="A22" s="29" t="s">
        <v>154</v>
      </c>
      <c r="B22" s="29"/>
      <c r="C22" s="29"/>
      <c r="D22" s="29" t="s">
        <v>155</v>
      </c>
      <c r="E22" s="31">
        <f t="shared" si="2"/>
        <v>185.330142</v>
      </c>
      <c r="F22" s="31">
        <f>1853301.42/10000</f>
        <v>185.330142</v>
      </c>
      <c r="G22" s="31">
        <v>0</v>
      </c>
      <c r="H22" s="31">
        <v>0</v>
      </c>
      <c r="I22" s="31">
        <v>0</v>
      </c>
      <c r="J22" s="31">
        <v>0</v>
      </c>
      <c r="K22" s="53">
        <v>0</v>
      </c>
      <c r="L22" s="113"/>
    </row>
    <row r="23" s="3" customFormat="1" ht="21" customHeight="1" spans="1:12">
      <c r="A23" s="27" t="s">
        <v>156</v>
      </c>
      <c r="B23" s="27"/>
      <c r="C23" s="27"/>
      <c r="D23" s="27" t="s">
        <v>157</v>
      </c>
      <c r="E23" s="28">
        <f t="shared" si="2"/>
        <v>1435.462037</v>
      </c>
      <c r="F23" s="28">
        <f t="shared" ref="F23:K23" si="10">F24</f>
        <v>1435.462037</v>
      </c>
      <c r="G23" s="28">
        <f t="shared" si="10"/>
        <v>0</v>
      </c>
      <c r="H23" s="28">
        <f t="shared" si="10"/>
        <v>0</v>
      </c>
      <c r="I23" s="28">
        <f t="shared" si="10"/>
        <v>0</v>
      </c>
      <c r="J23" s="28">
        <f t="shared" si="10"/>
        <v>0</v>
      </c>
      <c r="K23" s="28">
        <f t="shared" si="10"/>
        <v>0</v>
      </c>
      <c r="L23" s="112"/>
    </row>
    <row r="24" s="2" customFormat="1" ht="21" customHeight="1" spans="1:12">
      <c r="A24" s="29" t="s">
        <v>158</v>
      </c>
      <c r="B24" s="29"/>
      <c r="C24" s="29"/>
      <c r="D24" s="29" t="s">
        <v>159</v>
      </c>
      <c r="E24" s="31">
        <f t="shared" si="2"/>
        <v>1435.462037</v>
      </c>
      <c r="F24" s="31">
        <f t="shared" ref="F24:K24" si="11">SUM(F25:F28)</f>
        <v>1435.462037</v>
      </c>
      <c r="G24" s="31">
        <f t="shared" si="11"/>
        <v>0</v>
      </c>
      <c r="H24" s="31">
        <f t="shared" si="11"/>
        <v>0</v>
      </c>
      <c r="I24" s="31">
        <f t="shared" si="11"/>
        <v>0</v>
      </c>
      <c r="J24" s="31">
        <f t="shared" si="11"/>
        <v>0</v>
      </c>
      <c r="K24" s="31">
        <f t="shared" si="11"/>
        <v>0</v>
      </c>
      <c r="L24" s="113"/>
    </row>
    <row r="25" s="2" customFormat="1" ht="21" customHeight="1" spans="1:12">
      <c r="A25" s="29" t="s">
        <v>160</v>
      </c>
      <c r="B25" s="29"/>
      <c r="C25" s="29"/>
      <c r="D25" s="29" t="s">
        <v>161</v>
      </c>
      <c r="E25" s="31">
        <f t="shared" si="2"/>
        <v>562.271878</v>
      </c>
      <c r="F25" s="31">
        <f>5622718.78/10000</f>
        <v>562.271878</v>
      </c>
      <c r="G25" s="31">
        <v>0</v>
      </c>
      <c r="H25" s="31">
        <v>0</v>
      </c>
      <c r="I25" s="31">
        <v>0</v>
      </c>
      <c r="J25" s="31">
        <v>0</v>
      </c>
      <c r="K25" s="53">
        <v>0</v>
      </c>
      <c r="L25" s="113"/>
    </row>
    <row r="26" s="2" customFormat="1" ht="21" customHeight="1" spans="1:12">
      <c r="A26" s="29" t="s">
        <v>162</v>
      </c>
      <c r="B26" s="29"/>
      <c r="C26" s="29"/>
      <c r="D26" s="29" t="s">
        <v>163</v>
      </c>
      <c r="E26" s="31">
        <f t="shared" si="2"/>
        <v>8.1</v>
      </c>
      <c r="F26" s="31">
        <f>81000/10000</f>
        <v>8.1</v>
      </c>
      <c r="G26" s="31">
        <v>0</v>
      </c>
      <c r="H26" s="31">
        <v>0</v>
      </c>
      <c r="I26" s="31">
        <v>0</v>
      </c>
      <c r="J26" s="31">
        <v>0</v>
      </c>
      <c r="K26" s="53">
        <v>0</v>
      </c>
      <c r="L26" s="113"/>
    </row>
    <row r="27" s="2" customFormat="1" ht="21" customHeight="1" spans="1:12">
      <c r="A27" s="29" t="s">
        <v>164</v>
      </c>
      <c r="B27" s="29"/>
      <c r="C27" s="29"/>
      <c r="D27" s="29" t="s">
        <v>165</v>
      </c>
      <c r="E27" s="31">
        <f t="shared" si="2"/>
        <v>0.075959</v>
      </c>
      <c r="F27" s="31">
        <f>759.59/10000</f>
        <v>0.075959</v>
      </c>
      <c r="G27" s="31">
        <v>0</v>
      </c>
      <c r="H27" s="31">
        <v>0</v>
      </c>
      <c r="I27" s="31">
        <v>0</v>
      </c>
      <c r="J27" s="31">
        <v>0</v>
      </c>
      <c r="K27" s="53">
        <v>0</v>
      </c>
      <c r="L27" s="113"/>
    </row>
    <row r="28" s="2" customFormat="1" ht="21" customHeight="1" spans="1:12">
      <c r="A28" s="29" t="s">
        <v>166</v>
      </c>
      <c r="B28" s="29"/>
      <c r="C28" s="29"/>
      <c r="D28" s="29" t="s">
        <v>167</v>
      </c>
      <c r="E28" s="31">
        <f t="shared" si="2"/>
        <v>865.0142</v>
      </c>
      <c r="F28" s="31">
        <f>8650142/10000</f>
        <v>865.0142</v>
      </c>
      <c r="G28" s="31">
        <v>0</v>
      </c>
      <c r="H28" s="31">
        <v>0</v>
      </c>
      <c r="I28" s="31">
        <v>0</v>
      </c>
      <c r="J28" s="31">
        <v>0</v>
      </c>
      <c r="K28" s="53">
        <v>0</v>
      </c>
      <c r="L28" s="113"/>
    </row>
    <row r="29" s="3" customFormat="1" ht="21" customHeight="1" spans="1:12">
      <c r="A29" s="27" t="s">
        <v>168</v>
      </c>
      <c r="B29" s="27"/>
      <c r="C29" s="27"/>
      <c r="D29" s="27" t="s">
        <v>169</v>
      </c>
      <c r="E29" s="28">
        <f t="shared" si="2"/>
        <v>190.719843</v>
      </c>
      <c r="F29" s="28">
        <f t="shared" ref="F29:K29" si="12">F30</f>
        <v>190.719843</v>
      </c>
      <c r="G29" s="28">
        <f t="shared" si="12"/>
        <v>0</v>
      </c>
      <c r="H29" s="28">
        <f t="shared" si="12"/>
        <v>0</v>
      </c>
      <c r="I29" s="28">
        <f t="shared" si="12"/>
        <v>0</v>
      </c>
      <c r="J29" s="28">
        <f t="shared" si="12"/>
        <v>0</v>
      </c>
      <c r="K29" s="28">
        <f t="shared" si="12"/>
        <v>0</v>
      </c>
      <c r="L29" s="112"/>
    </row>
    <row r="30" s="2" customFormat="1" ht="21" customHeight="1" spans="1:12">
      <c r="A30" s="29" t="s">
        <v>170</v>
      </c>
      <c r="B30" s="29"/>
      <c r="C30" s="29"/>
      <c r="D30" s="29" t="s">
        <v>171</v>
      </c>
      <c r="E30" s="31">
        <f t="shared" si="2"/>
        <v>190.719843</v>
      </c>
      <c r="F30" s="31">
        <f t="shared" ref="F30:K30" si="13">F31</f>
        <v>190.719843</v>
      </c>
      <c r="G30" s="31">
        <f t="shared" si="13"/>
        <v>0</v>
      </c>
      <c r="H30" s="31">
        <f t="shared" si="13"/>
        <v>0</v>
      </c>
      <c r="I30" s="31">
        <f t="shared" si="13"/>
        <v>0</v>
      </c>
      <c r="J30" s="31">
        <f t="shared" si="13"/>
        <v>0</v>
      </c>
      <c r="K30" s="31">
        <f t="shared" si="13"/>
        <v>0</v>
      </c>
      <c r="L30" s="113"/>
    </row>
    <row r="31" s="2" customFormat="1" ht="21" customHeight="1" spans="1:12">
      <c r="A31" s="29" t="s">
        <v>172</v>
      </c>
      <c r="B31" s="29"/>
      <c r="C31" s="29"/>
      <c r="D31" s="29" t="s">
        <v>173</v>
      </c>
      <c r="E31" s="31">
        <f t="shared" si="2"/>
        <v>190.719843</v>
      </c>
      <c r="F31" s="31">
        <f>1907198.43/10000</f>
        <v>190.719843</v>
      </c>
      <c r="G31" s="31">
        <v>0</v>
      </c>
      <c r="H31" s="31">
        <v>0</v>
      </c>
      <c r="I31" s="31">
        <v>0</v>
      </c>
      <c r="J31" s="31">
        <v>0</v>
      </c>
      <c r="K31" s="53">
        <v>0</v>
      </c>
      <c r="L31" s="113"/>
    </row>
    <row r="32" s="3" customFormat="1" ht="21" customHeight="1" spans="1:12">
      <c r="A32" s="27" t="s">
        <v>174</v>
      </c>
      <c r="B32" s="27"/>
      <c r="C32" s="27"/>
      <c r="D32" s="27" t="s">
        <v>175</v>
      </c>
      <c r="E32" s="28">
        <f t="shared" si="2"/>
        <v>5582.165565</v>
      </c>
      <c r="F32" s="28">
        <f t="shared" ref="F32:K32" si="14">F33</f>
        <v>5582.165565</v>
      </c>
      <c r="G32" s="28">
        <f t="shared" si="14"/>
        <v>0</v>
      </c>
      <c r="H32" s="28">
        <f t="shared" si="14"/>
        <v>0</v>
      </c>
      <c r="I32" s="28">
        <f t="shared" si="14"/>
        <v>0</v>
      </c>
      <c r="J32" s="28">
        <f t="shared" si="14"/>
        <v>0</v>
      </c>
      <c r="K32" s="28">
        <f t="shared" si="14"/>
        <v>0</v>
      </c>
      <c r="L32" s="112"/>
    </row>
    <row r="33" s="2" customFormat="1" ht="21" customHeight="1" spans="1:12">
      <c r="A33" s="29" t="s">
        <v>176</v>
      </c>
      <c r="B33" s="29"/>
      <c r="C33" s="29"/>
      <c r="D33" s="29" t="s">
        <v>177</v>
      </c>
      <c r="E33" s="31">
        <f t="shared" si="2"/>
        <v>5582.165565</v>
      </c>
      <c r="F33" s="31">
        <f t="shared" ref="F33:K33" si="15">SUM(F34:F37)</f>
        <v>5582.165565</v>
      </c>
      <c r="G33" s="31">
        <f t="shared" si="15"/>
        <v>0</v>
      </c>
      <c r="H33" s="31">
        <f t="shared" si="15"/>
        <v>0</v>
      </c>
      <c r="I33" s="31">
        <f t="shared" si="15"/>
        <v>0</v>
      </c>
      <c r="J33" s="31">
        <f t="shared" si="15"/>
        <v>0</v>
      </c>
      <c r="K33" s="31">
        <f t="shared" si="15"/>
        <v>0</v>
      </c>
      <c r="L33" s="113"/>
    </row>
    <row r="34" s="2" customFormat="1" ht="21" customHeight="1" spans="1:12">
      <c r="A34" s="29" t="s">
        <v>178</v>
      </c>
      <c r="B34" s="29"/>
      <c r="C34" s="29"/>
      <c r="D34" s="29" t="s">
        <v>179</v>
      </c>
      <c r="E34" s="31">
        <f t="shared" si="2"/>
        <v>3490.196865</v>
      </c>
      <c r="F34" s="31">
        <f>34901968.65/10000</f>
        <v>3490.196865</v>
      </c>
      <c r="G34" s="31">
        <v>0</v>
      </c>
      <c r="H34" s="31">
        <v>0</v>
      </c>
      <c r="I34" s="31">
        <v>0</v>
      </c>
      <c r="J34" s="31">
        <v>0</v>
      </c>
      <c r="K34" s="53">
        <v>0</v>
      </c>
      <c r="L34" s="113"/>
    </row>
    <row r="35" s="2" customFormat="1" ht="21" customHeight="1" spans="1:12">
      <c r="A35" s="29" t="s">
        <v>180</v>
      </c>
      <c r="B35" s="29"/>
      <c r="C35" s="29"/>
      <c r="D35" s="29" t="s">
        <v>181</v>
      </c>
      <c r="E35" s="31">
        <f t="shared" si="2"/>
        <v>281</v>
      </c>
      <c r="F35" s="31">
        <f>2810000/10000</f>
        <v>281</v>
      </c>
      <c r="G35" s="31">
        <v>0</v>
      </c>
      <c r="H35" s="31">
        <v>0</v>
      </c>
      <c r="I35" s="31">
        <v>0</v>
      </c>
      <c r="J35" s="31">
        <v>0</v>
      </c>
      <c r="K35" s="53">
        <v>0</v>
      </c>
      <c r="L35" s="113"/>
    </row>
    <row r="36" s="2" customFormat="1" ht="21" customHeight="1" spans="1:12">
      <c r="A36" s="29" t="s">
        <v>182</v>
      </c>
      <c r="B36" s="29"/>
      <c r="C36" s="29"/>
      <c r="D36" s="29" t="s">
        <v>183</v>
      </c>
      <c r="E36" s="31">
        <f t="shared" si="2"/>
        <v>383.6334</v>
      </c>
      <c r="F36" s="31">
        <f>3836334/10000</f>
        <v>383.6334</v>
      </c>
      <c r="G36" s="31">
        <v>0</v>
      </c>
      <c r="H36" s="31">
        <v>0</v>
      </c>
      <c r="I36" s="31">
        <v>0</v>
      </c>
      <c r="J36" s="31">
        <v>0</v>
      </c>
      <c r="K36" s="53">
        <v>0</v>
      </c>
      <c r="L36" s="113"/>
    </row>
    <row r="37" s="2" customFormat="1" ht="21" customHeight="1" spans="1:12">
      <c r="A37" s="29" t="s">
        <v>184</v>
      </c>
      <c r="B37" s="29"/>
      <c r="C37" s="29"/>
      <c r="D37" s="29" t="s">
        <v>185</v>
      </c>
      <c r="E37" s="31">
        <f t="shared" si="2"/>
        <v>1427.3353</v>
      </c>
      <c r="F37" s="31">
        <f>14273353/10000</f>
        <v>1427.3353</v>
      </c>
      <c r="G37" s="31">
        <v>0</v>
      </c>
      <c r="H37" s="31">
        <v>0</v>
      </c>
      <c r="I37" s="31">
        <v>0</v>
      </c>
      <c r="J37" s="31">
        <v>0</v>
      </c>
      <c r="K37" s="53">
        <v>0</v>
      </c>
      <c r="L37" s="113"/>
    </row>
    <row r="38" s="3" customFormat="1" ht="21" customHeight="1" spans="1:12">
      <c r="A38" s="27" t="s">
        <v>186</v>
      </c>
      <c r="B38" s="27"/>
      <c r="C38" s="27"/>
      <c r="D38" s="27" t="s">
        <v>187</v>
      </c>
      <c r="E38" s="28">
        <f t="shared" si="2"/>
        <v>234.101232</v>
      </c>
      <c r="F38" s="28">
        <f t="shared" ref="F38:K38" si="16">F39</f>
        <v>234.101232</v>
      </c>
      <c r="G38" s="28">
        <f t="shared" si="16"/>
        <v>0</v>
      </c>
      <c r="H38" s="28">
        <f t="shared" si="16"/>
        <v>0</v>
      </c>
      <c r="I38" s="28">
        <f t="shared" si="16"/>
        <v>0</v>
      </c>
      <c r="J38" s="28">
        <f t="shared" si="16"/>
        <v>0</v>
      </c>
      <c r="K38" s="28">
        <f t="shared" si="16"/>
        <v>0</v>
      </c>
      <c r="L38" s="112"/>
    </row>
    <row r="39" s="2" customFormat="1" ht="21" customHeight="1" spans="1:12">
      <c r="A39" s="29" t="s">
        <v>188</v>
      </c>
      <c r="B39" s="29"/>
      <c r="C39" s="29"/>
      <c r="D39" s="29" t="s">
        <v>189</v>
      </c>
      <c r="E39" s="31">
        <f t="shared" si="2"/>
        <v>234.101232</v>
      </c>
      <c r="F39" s="31">
        <f t="shared" ref="F39:K39" si="17">F40</f>
        <v>234.101232</v>
      </c>
      <c r="G39" s="31">
        <f t="shared" si="17"/>
        <v>0</v>
      </c>
      <c r="H39" s="31">
        <f t="shared" si="17"/>
        <v>0</v>
      </c>
      <c r="I39" s="31">
        <f t="shared" si="17"/>
        <v>0</v>
      </c>
      <c r="J39" s="31">
        <f t="shared" si="17"/>
        <v>0</v>
      </c>
      <c r="K39" s="31">
        <f t="shared" si="17"/>
        <v>0</v>
      </c>
      <c r="L39" s="113"/>
    </row>
    <row r="40" s="2" customFormat="1" ht="21" customHeight="1" spans="1:12">
      <c r="A40" s="29" t="s">
        <v>190</v>
      </c>
      <c r="B40" s="29"/>
      <c r="C40" s="29"/>
      <c r="D40" s="29" t="s">
        <v>191</v>
      </c>
      <c r="E40" s="31">
        <f t="shared" si="2"/>
        <v>234.101232</v>
      </c>
      <c r="F40" s="31">
        <f>2341012.32/10000</f>
        <v>234.101232</v>
      </c>
      <c r="G40" s="31">
        <v>0</v>
      </c>
      <c r="H40" s="31">
        <v>0</v>
      </c>
      <c r="I40" s="31">
        <v>0</v>
      </c>
      <c r="J40" s="31">
        <v>0</v>
      </c>
      <c r="K40" s="53">
        <v>0</v>
      </c>
      <c r="L40" s="113"/>
    </row>
    <row r="41" s="3" customFormat="1" ht="21" customHeight="1" spans="1:12">
      <c r="A41" s="27" t="s">
        <v>192</v>
      </c>
      <c r="B41" s="27"/>
      <c r="C41" s="27"/>
      <c r="D41" s="27" t="s">
        <v>193</v>
      </c>
      <c r="E41" s="28">
        <f t="shared" si="2"/>
        <v>205</v>
      </c>
      <c r="F41" s="28">
        <f t="shared" ref="F41:K41" si="18">F42</f>
        <v>205</v>
      </c>
      <c r="G41" s="28">
        <f t="shared" si="18"/>
        <v>0</v>
      </c>
      <c r="H41" s="28">
        <f t="shared" si="18"/>
        <v>0</v>
      </c>
      <c r="I41" s="28">
        <f t="shared" si="18"/>
        <v>0</v>
      </c>
      <c r="J41" s="28">
        <f t="shared" si="18"/>
        <v>0</v>
      </c>
      <c r="K41" s="28">
        <f t="shared" si="18"/>
        <v>0</v>
      </c>
      <c r="L41" s="112"/>
    </row>
    <row r="42" s="2" customFormat="1" ht="21" customHeight="1" spans="1:12">
      <c r="A42" s="29" t="s">
        <v>194</v>
      </c>
      <c r="B42" s="29"/>
      <c r="C42" s="29"/>
      <c r="D42" s="29" t="s">
        <v>195</v>
      </c>
      <c r="E42" s="31">
        <f t="shared" si="2"/>
        <v>205</v>
      </c>
      <c r="F42" s="31">
        <f t="shared" ref="F42:K42" si="19">F43</f>
        <v>205</v>
      </c>
      <c r="G42" s="31">
        <f t="shared" si="19"/>
        <v>0</v>
      </c>
      <c r="H42" s="31">
        <f t="shared" si="19"/>
        <v>0</v>
      </c>
      <c r="I42" s="31">
        <f t="shared" si="19"/>
        <v>0</v>
      </c>
      <c r="J42" s="31">
        <f t="shared" si="19"/>
        <v>0</v>
      </c>
      <c r="K42" s="31">
        <f t="shared" si="19"/>
        <v>0</v>
      </c>
      <c r="L42" s="113"/>
    </row>
    <row r="43" s="2" customFormat="1" ht="21" customHeight="1" spans="1:12">
      <c r="A43" s="29" t="s">
        <v>196</v>
      </c>
      <c r="B43" s="29"/>
      <c r="C43" s="29"/>
      <c r="D43" s="29" t="s">
        <v>195</v>
      </c>
      <c r="E43" s="31">
        <f t="shared" si="2"/>
        <v>205</v>
      </c>
      <c r="F43" s="31">
        <f>2050000/10000</f>
        <v>205</v>
      </c>
      <c r="G43" s="31">
        <v>0</v>
      </c>
      <c r="H43" s="31">
        <v>0</v>
      </c>
      <c r="I43" s="31">
        <v>0</v>
      </c>
      <c r="J43" s="31">
        <v>0</v>
      </c>
      <c r="K43" s="53">
        <v>0</v>
      </c>
      <c r="L43" s="113"/>
    </row>
    <row r="44" s="3" customFormat="1" ht="21" customHeight="1" spans="1:12">
      <c r="A44" s="27" t="s">
        <v>197</v>
      </c>
      <c r="B44" s="27"/>
      <c r="C44" s="27"/>
      <c r="D44" s="27" t="s">
        <v>198</v>
      </c>
      <c r="E44" s="28">
        <f t="shared" si="2"/>
        <v>851.7404</v>
      </c>
      <c r="F44" s="28">
        <f t="shared" ref="F44:K44" si="20">F45</f>
        <v>851.7404</v>
      </c>
      <c r="G44" s="28">
        <f t="shared" si="20"/>
        <v>0</v>
      </c>
      <c r="H44" s="28">
        <f t="shared" si="20"/>
        <v>0</v>
      </c>
      <c r="I44" s="28">
        <f t="shared" si="20"/>
        <v>0</v>
      </c>
      <c r="J44" s="28">
        <f t="shared" si="20"/>
        <v>0</v>
      </c>
      <c r="K44" s="28">
        <f t="shared" si="20"/>
        <v>0</v>
      </c>
      <c r="L44" s="112"/>
    </row>
    <row r="45" s="2" customFormat="1" ht="21" customHeight="1" spans="1:12">
      <c r="A45" s="29" t="s">
        <v>199</v>
      </c>
      <c r="B45" s="29"/>
      <c r="C45" s="29"/>
      <c r="D45" s="29" t="s">
        <v>200</v>
      </c>
      <c r="E45" s="31">
        <f t="shared" si="2"/>
        <v>851.7404</v>
      </c>
      <c r="F45" s="31">
        <f t="shared" ref="F45:K45" si="21">F46</f>
        <v>851.7404</v>
      </c>
      <c r="G45" s="31">
        <f t="shared" si="21"/>
        <v>0</v>
      </c>
      <c r="H45" s="31">
        <f t="shared" si="21"/>
        <v>0</v>
      </c>
      <c r="I45" s="31">
        <f t="shared" si="21"/>
        <v>0</v>
      </c>
      <c r="J45" s="31">
        <f t="shared" si="21"/>
        <v>0</v>
      </c>
      <c r="K45" s="31">
        <f t="shared" si="21"/>
        <v>0</v>
      </c>
      <c r="L45" s="113"/>
    </row>
    <row r="46" s="2" customFormat="1" ht="21" customHeight="1" spans="1:12">
      <c r="A46" s="29" t="s">
        <v>201</v>
      </c>
      <c r="B46" s="29"/>
      <c r="C46" s="29"/>
      <c r="D46" s="29" t="s">
        <v>202</v>
      </c>
      <c r="E46" s="31">
        <f t="shared" si="2"/>
        <v>851.7404</v>
      </c>
      <c r="F46" s="31">
        <f>8517404/10000</f>
        <v>851.7404</v>
      </c>
      <c r="G46" s="31">
        <v>0</v>
      </c>
      <c r="H46" s="31">
        <v>0</v>
      </c>
      <c r="I46" s="31">
        <v>0</v>
      </c>
      <c r="J46" s="31">
        <v>0</v>
      </c>
      <c r="K46" s="53">
        <v>0</v>
      </c>
      <c r="L46" s="113"/>
    </row>
    <row r="47" s="3" customFormat="1" ht="21" customHeight="1" spans="1:12">
      <c r="A47" s="27" t="s">
        <v>203</v>
      </c>
      <c r="B47" s="27"/>
      <c r="C47" s="27"/>
      <c r="D47" s="27" t="s">
        <v>204</v>
      </c>
      <c r="E47" s="28">
        <f t="shared" si="2"/>
        <v>4008.587872</v>
      </c>
      <c r="F47" s="28">
        <f t="shared" ref="F47:K47" si="22">F48</f>
        <v>0</v>
      </c>
      <c r="G47" s="28">
        <f t="shared" si="22"/>
        <v>0</v>
      </c>
      <c r="H47" s="28">
        <f t="shared" si="22"/>
        <v>0</v>
      </c>
      <c r="I47" s="28">
        <f t="shared" si="22"/>
        <v>0</v>
      </c>
      <c r="J47" s="28">
        <f t="shared" si="22"/>
        <v>0</v>
      </c>
      <c r="K47" s="28">
        <f t="shared" si="22"/>
        <v>4008.587872</v>
      </c>
      <c r="L47" s="112"/>
    </row>
    <row r="48" s="2" customFormat="1" ht="21" customHeight="1" spans="1:12">
      <c r="A48" s="29" t="s">
        <v>205</v>
      </c>
      <c r="B48" s="29"/>
      <c r="C48" s="29"/>
      <c r="D48" s="29" t="s">
        <v>204</v>
      </c>
      <c r="E48" s="31">
        <f t="shared" si="2"/>
        <v>4008.587872</v>
      </c>
      <c r="F48" s="31">
        <f t="shared" ref="F48:K48" si="23">F49</f>
        <v>0</v>
      </c>
      <c r="G48" s="31">
        <f t="shared" si="23"/>
        <v>0</v>
      </c>
      <c r="H48" s="31">
        <f t="shared" si="23"/>
        <v>0</v>
      </c>
      <c r="I48" s="31">
        <f t="shared" si="23"/>
        <v>0</v>
      </c>
      <c r="J48" s="31">
        <f t="shared" si="23"/>
        <v>0</v>
      </c>
      <c r="K48" s="31">
        <f t="shared" si="23"/>
        <v>4008.587872</v>
      </c>
      <c r="L48" s="113"/>
    </row>
    <row r="49" s="2" customFormat="1" ht="21" customHeight="1" spans="1:12">
      <c r="A49" s="29" t="s">
        <v>206</v>
      </c>
      <c r="B49" s="29"/>
      <c r="C49" s="29"/>
      <c r="D49" s="29" t="s">
        <v>204</v>
      </c>
      <c r="E49" s="31">
        <f t="shared" si="2"/>
        <v>4008.587872</v>
      </c>
      <c r="F49" s="31">
        <v>0</v>
      </c>
      <c r="G49" s="31">
        <v>0</v>
      </c>
      <c r="H49" s="31">
        <v>0</v>
      </c>
      <c r="I49" s="31">
        <v>0</v>
      </c>
      <c r="J49" s="31">
        <v>0</v>
      </c>
      <c r="K49" s="53">
        <f>40085878.72/10000</f>
        <v>4008.587872</v>
      </c>
      <c r="L49" s="113"/>
    </row>
    <row r="50" s="2" customFormat="1" ht="21" customHeight="1" spans="1:11">
      <c r="A50" s="39" t="s">
        <v>207</v>
      </c>
      <c r="B50" s="39" t="s">
        <v>5</v>
      </c>
      <c r="C50" s="39" t="s">
        <v>5</v>
      </c>
      <c r="D50" s="39" t="s">
        <v>5</v>
      </c>
      <c r="E50" s="39" t="s">
        <v>5</v>
      </c>
      <c r="F50" s="39" t="s">
        <v>5</v>
      </c>
      <c r="G50" s="39" t="s">
        <v>5</v>
      </c>
      <c r="H50" s="39" t="s">
        <v>5</v>
      </c>
      <c r="I50" s="39" t="s">
        <v>5</v>
      </c>
      <c r="J50" s="39" t="s">
        <v>5</v>
      </c>
      <c r="K50" s="39" t="s">
        <v>5</v>
      </c>
    </row>
    <row r="52" spans="6:6">
      <c r="F52" s="42" t="s">
        <v>208</v>
      </c>
    </row>
  </sheetData>
  <mergeCells count="104">
    <mergeCell ref="A1:K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K50"/>
    <mergeCell ref="A50:K50"/>
    <mergeCell ref="A50:K50"/>
    <mergeCell ref="A50:K50"/>
    <mergeCell ref="A50:K50"/>
    <mergeCell ref="A50:K50"/>
    <mergeCell ref="A50:K50"/>
    <mergeCell ref="A50:K50"/>
    <mergeCell ref="A50:K50"/>
    <mergeCell ref="A50:K50"/>
    <mergeCell ref="A50:K50"/>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zoomScaleSheetLayoutView="60" workbookViewId="0">
      <pane xSplit="4" ySplit="8" topLeftCell="E9" activePane="bottomRight" state="frozen"/>
      <selection/>
      <selection pane="topRight"/>
      <selection pane="bottomLeft"/>
      <selection pane="bottomRight" activeCell="F9" sqref="F9"/>
    </sheetView>
  </sheetViews>
  <sheetFormatPr defaultColWidth="8.88571428571429" defaultRowHeight="12.75"/>
  <cols>
    <col min="1" max="1" width="3.13333333333333" style="5" customWidth="1"/>
    <col min="2" max="2" width="4.28571428571429" style="5" customWidth="1"/>
    <col min="3" max="3" width="3.57142857142857" style="5" customWidth="1"/>
    <col min="4" max="4" width="37.4285714285714" style="5" customWidth="1"/>
    <col min="5" max="10" width="17.1333333333333" style="5" customWidth="1"/>
    <col min="11" max="11" width="9.76190476190476" style="5"/>
    <col min="12" max="16384" width="8.88571428571429" style="5"/>
  </cols>
  <sheetData>
    <row r="1" s="56" customFormat="1" ht="24" customHeight="1" spans="1:10">
      <c r="A1" s="6" t="s">
        <v>209</v>
      </c>
      <c r="B1" s="7"/>
      <c r="C1" s="7"/>
      <c r="D1" s="7"/>
      <c r="E1" s="7"/>
      <c r="F1" s="6" t="s">
        <v>209</v>
      </c>
      <c r="G1" s="7"/>
      <c r="H1" s="7"/>
      <c r="I1" s="7"/>
      <c r="J1" s="7"/>
    </row>
    <row r="2" s="56" customFormat="1" ht="21" customHeight="1" spans="10:10">
      <c r="J2" s="85" t="s">
        <v>210</v>
      </c>
    </row>
    <row r="3" s="56" customFormat="1" ht="21" customHeight="1" spans="1:10">
      <c r="A3" s="58" t="str">
        <f>收入决算表!A3</f>
        <v>部门：岳阳县自然资源局</v>
      </c>
      <c r="J3" s="85" t="s">
        <v>3</v>
      </c>
    </row>
    <row r="4" s="57" customFormat="1" ht="21" customHeight="1" spans="1:11">
      <c r="A4" s="90" t="s">
        <v>7</v>
      </c>
      <c r="B4" s="91" t="s">
        <v>5</v>
      </c>
      <c r="C4" s="91" t="s">
        <v>5</v>
      </c>
      <c r="D4" s="91" t="s">
        <v>119</v>
      </c>
      <c r="E4" s="92" t="s">
        <v>99</v>
      </c>
      <c r="F4" s="92" t="s">
        <v>211</v>
      </c>
      <c r="G4" s="92" t="s">
        <v>212</v>
      </c>
      <c r="H4" s="92" t="s">
        <v>213</v>
      </c>
      <c r="I4" s="92" t="s">
        <v>214</v>
      </c>
      <c r="J4" s="92" t="s">
        <v>215</v>
      </c>
      <c r="K4" s="24"/>
    </row>
    <row r="5" s="57" customFormat="1" ht="21" customHeight="1" spans="1:11">
      <c r="A5" s="93" t="s">
        <v>126</v>
      </c>
      <c r="B5" s="94" t="s">
        <v>5</v>
      </c>
      <c r="C5" s="94" t="s">
        <v>5</v>
      </c>
      <c r="D5" s="95" t="s">
        <v>119</v>
      </c>
      <c r="E5" s="94" t="s">
        <v>5</v>
      </c>
      <c r="F5" s="94" t="s">
        <v>5</v>
      </c>
      <c r="G5" s="94" t="s">
        <v>5</v>
      </c>
      <c r="H5" s="94" t="s">
        <v>5</v>
      </c>
      <c r="I5" s="94" t="s">
        <v>5</v>
      </c>
      <c r="J5" s="94" t="s">
        <v>5</v>
      </c>
      <c r="K5" s="24"/>
    </row>
    <row r="6" s="57" customFormat="1" ht="21" customHeight="1" spans="1:11">
      <c r="A6" s="93" t="s">
        <v>5</v>
      </c>
      <c r="B6" s="94" t="s">
        <v>5</v>
      </c>
      <c r="C6" s="94" t="s">
        <v>5</v>
      </c>
      <c r="D6" s="95" t="s">
        <v>5</v>
      </c>
      <c r="E6" s="94" t="s">
        <v>5</v>
      </c>
      <c r="F6" s="94" t="s">
        <v>5</v>
      </c>
      <c r="G6" s="94" t="s">
        <v>5</v>
      </c>
      <c r="H6" s="94" t="s">
        <v>5</v>
      </c>
      <c r="I6" s="94" t="s">
        <v>5</v>
      </c>
      <c r="J6" s="94" t="s">
        <v>5</v>
      </c>
      <c r="K6" s="24"/>
    </row>
    <row r="7" s="57" customFormat="1" ht="21" customHeight="1" spans="1:11">
      <c r="A7" s="93" t="s">
        <v>5</v>
      </c>
      <c r="B7" s="94" t="s">
        <v>5</v>
      </c>
      <c r="C7" s="94" t="s">
        <v>5</v>
      </c>
      <c r="D7" s="95" t="s">
        <v>5</v>
      </c>
      <c r="E7" s="94" t="s">
        <v>5</v>
      </c>
      <c r="F7" s="94" t="s">
        <v>5</v>
      </c>
      <c r="G7" s="94" t="s">
        <v>5</v>
      </c>
      <c r="H7" s="94" t="s">
        <v>5</v>
      </c>
      <c r="I7" s="94" t="s">
        <v>5</v>
      </c>
      <c r="J7" s="94" t="s">
        <v>5</v>
      </c>
      <c r="K7" s="24"/>
    </row>
    <row r="8" s="57" customFormat="1" ht="21" customHeight="1" spans="1:11">
      <c r="A8" s="96" t="s">
        <v>10</v>
      </c>
      <c r="B8" s="96" t="s">
        <v>128</v>
      </c>
      <c r="C8" s="96" t="s">
        <v>129</v>
      </c>
      <c r="D8" s="96" t="s">
        <v>10</v>
      </c>
      <c r="E8" s="97" t="s">
        <v>11</v>
      </c>
      <c r="F8" s="97" t="s">
        <v>12</v>
      </c>
      <c r="G8" s="97" t="s">
        <v>20</v>
      </c>
      <c r="H8" s="97" t="s">
        <v>24</v>
      </c>
      <c r="I8" s="97" t="s">
        <v>28</v>
      </c>
      <c r="J8" s="106" t="s">
        <v>32</v>
      </c>
      <c r="K8" s="24"/>
    </row>
    <row r="9" s="3" customFormat="1" ht="21" customHeight="1" spans="1:11">
      <c r="A9" s="98" t="s">
        <v>130</v>
      </c>
      <c r="B9" s="98" t="s">
        <v>5</v>
      </c>
      <c r="C9" s="98" t="s">
        <v>5</v>
      </c>
      <c r="D9" s="98" t="s">
        <v>130</v>
      </c>
      <c r="E9" s="99">
        <f>SUM(F9:J9)</f>
        <v>13754.56766</v>
      </c>
      <c r="F9" s="99">
        <f>F10+F13+F20+F23+F29+F32+F38+F41+F44+F47</f>
        <v>8346.223956</v>
      </c>
      <c r="G9" s="99">
        <f>G10+G13+G20+G23+G29+G32+G38+G41+G44+G47</f>
        <v>5408.343704</v>
      </c>
      <c r="H9" s="99">
        <f>H10+H13+H20+H23+H29+H32+H38+H41+H44+H47</f>
        <v>0</v>
      </c>
      <c r="I9" s="99">
        <f>I10+I13+I20+I23+I29+I32+I38+I41+I44+I47</f>
        <v>0</v>
      </c>
      <c r="J9" s="99">
        <f>J10+J13+J20+J23+J29+J32+J38+J41+J44+J47</f>
        <v>0</v>
      </c>
      <c r="K9" s="107"/>
    </row>
    <row r="10" s="3" customFormat="1" ht="21" customHeight="1" spans="1:11">
      <c r="A10" s="100" t="s">
        <v>131</v>
      </c>
      <c r="B10" s="100"/>
      <c r="C10" s="100"/>
      <c r="D10" s="100" t="s">
        <v>132</v>
      </c>
      <c r="E10" s="99">
        <f>SUM(F10:J10)</f>
        <v>76.83</v>
      </c>
      <c r="F10" s="99">
        <f>F11</f>
        <v>76.83</v>
      </c>
      <c r="G10" s="99">
        <f>G11</f>
        <v>0</v>
      </c>
      <c r="H10" s="99">
        <f>H11</f>
        <v>0</v>
      </c>
      <c r="I10" s="99">
        <f>I11</f>
        <v>0</v>
      </c>
      <c r="J10" s="99">
        <f>J11</f>
        <v>0</v>
      </c>
      <c r="K10" s="107"/>
    </row>
    <row r="11" s="2" customFormat="1" ht="21" customHeight="1" spans="1:11">
      <c r="A11" s="101" t="s">
        <v>133</v>
      </c>
      <c r="B11" s="101"/>
      <c r="C11" s="101"/>
      <c r="D11" s="101" t="s">
        <v>134</v>
      </c>
      <c r="E11" s="102">
        <f t="shared" ref="E11:E49" si="0">SUM(F11:J11)</f>
        <v>76.83</v>
      </c>
      <c r="F11" s="102">
        <f>F12</f>
        <v>76.83</v>
      </c>
      <c r="G11" s="102">
        <f>G12</f>
        <v>0</v>
      </c>
      <c r="H11" s="102">
        <f>H12</f>
        <v>0</v>
      </c>
      <c r="I11" s="102">
        <f>I12</f>
        <v>0</v>
      </c>
      <c r="J11" s="102">
        <f>J12</f>
        <v>0</v>
      </c>
      <c r="K11" s="108"/>
    </row>
    <row r="12" s="2" customFormat="1" ht="21" customHeight="1" spans="1:11">
      <c r="A12" s="101" t="s">
        <v>135</v>
      </c>
      <c r="B12" s="101"/>
      <c r="C12" s="101"/>
      <c r="D12" s="101" t="s">
        <v>136</v>
      </c>
      <c r="E12" s="102">
        <f t="shared" si="0"/>
        <v>76.83</v>
      </c>
      <c r="F12" s="102">
        <f>768300/10000</f>
        <v>76.83</v>
      </c>
      <c r="G12" s="102">
        <v>0</v>
      </c>
      <c r="H12" s="102">
        <v>0</v>
      </c>
      <c r="I12" s="102">
        <v>0</v>
      </c>
      <c r="J12" s="109">
        <v>0</v>
      </c>
      <c r="K12" s="108"/>
    </row>
    <row r="13" s="3" customFormat="1" ht="21" customHeight="1" spans="1:11">
      <c r="A13" s="100" t="s">
        <v>137</v>
      </c>
      <c r="B13" s="100"/>
      <c r="C13" s="100"/>
      <c r="D13" s="100" t="s">
        <v>138</v>
      </c>
      <c r="E13" s="99">
        <f t="shared" si="0"/>
        <v>335.113212</v>
      </c>
      <c r="F13" s="99">
        <f>F14+F16+F18</f>
        <v>335.113212</v>
      </c>
      <c r="G13" s="99">
        <f>G14</f>
        <v>0</v>
      </c>
      <c r="H13" s="99">
        <f>H14</f>
        <v>0</v>
      </c>
      <c r="I13" s="99">
        <f>I14</f>
        <v>0</v>
      </c>
      <c r="J13" s="99">
        <f>J14</f>
        <v>0</v>
      </c>
      <c r="K13" s="107"/>
    </row>
    <row r="14" s="2" customFormat="1" ht="21" customHeight="1" spans="1:11">
      <c r="A14" s="101" t="s">
        <v>139</v>
      </c>
      <c r="B14" s="101"/>
      <c r="C14" s="101"/>
      <c r="D14" s="101" t="s">
        <v>140</v>
      </c>
      <c r="E14" s="102">
        <f t="shared" si="0"/>
        <v>312.134976</v>
      </c>
      <c r="F14" s="102">
        <f>F15</f>
        <v>312.134976</v>
      </c>
      <c r="G14" s="102">
        <f>G15</f>
        <v>0</v>
      </c>
      <c r="H14" s="102">
        <f>H15</f>
        <v>0</v>
      </c>
      <c r="I14" s="102">
        <f>I15</f>
        <v>0</v>
      </c>
      <c r="J14" s="102">
        <f>J15</f>
        <v>0</v>
      </c>
      <c r="K14" s="108"/>
    </row>
    <row r="15" s="2" customFormat="1" ht="21" customHeight="1" spans="1:11">
      <c r="A15" s="101" t="s">
        <v>141</v>
      </c>
      <c r="B15" s="101"/>
      <c r="C15" s="101"/>
      <c r="D15" s="101" t="s">
        <v>142</v>
      </c>
      <c r="E15" s="102">
        <f t="shared" si="0"/>
        <v>312.134976</v>
      </c>
      <c r="F15" s="102">
        <f>3121349.76/10000</f>
        <v>312.134976</v>
      </c>
      <c r="G15" s="102">
        <v>0</v>
      </c>
      <c r="H15" s="102">
        <v>0</v>
      </c>
      <c r="I15" s="102">
        <v>0</v>
      </c>
      <c r="J15" s="109">
        <v>0</v>
      </c>
      <c r="K15" s="108"/>
    </row>
    <row r="16" s="2" customFormat="1" ht="21" customHeight="1" spans="1:11">
      <c r="A16" s="101" t="s">
        <v>143</v>
      </c>
      <c r="B16" s="101"/>
      <c r="C16" s="101"/>
      <c r="D16" s="101" t="s">
        <v>144</v>
      </c>
      <c r="E16" s="102">
        <f t="shared" si="0"/>
        <v>3.4698</v>
      </c>
      <c r="F16" s="102">
        <f>F17</f>
        <v>3.4698</v>
      </c>
      <c r="G16" s="102">
        <f>G17</f>
        <v>0</v>
      </c>
      <c r="H16" s="102">
        <f>H17</f>
        <v>0</v>
      </c>
      <c r="I16" s="102">
        <f>I17</f>
        <v>0</v>
      </c>
      <c r="J16" s="102">
        <f>J17</f>
        <v>0</v>
      </c>
      <c r="K16" s="108"/>
    </row>
    <row r="17" s="2" customFormat="1" ht="21" customHeight="1" spans="1:11">
      <c r="A17" s="101" t="s">
        <v>145</v>
      </c>
      <c r="B17" s="101"/>
      <c r="C17" s="101"/>
      <c r="D17" s="101" t="s">
        <v>146</v>
      </c>
      <c r="E17" s="102">
        <f t="shared" si="0"/>
        <v>3.4698</v>
      </c>
      <c r="F17" s="102">
        <f>34698/10000</f>
        <v>3.4698</v>
      </c>
      <c r="G17" s="102">
        <v>0</v>
      </c>
      <c r="H17" s="102">
        <v>0</v>
      </c>
      <c r="I17" s="102">
        <v>0</v>
      </c>
      <c r="J17" s="109">
        <v>0</v>
      </c>
      <c r="K17" s="108"/>
    </row>
    <row r="18" s="2" customFormat="1" ht="21" customHeight="1" spans="1:11">
      <c r="A18" s="101" t="s">
        <v>147</v>
      </c>
      <c r="B18" s="101"/>
      <c r="C18" s="101"/>
      <c r="D18" s="101" t="s">
        <v>148</v>
      </c>
      <c r="E18" s="102">
        <f t="shared" si="0"/>
        <v>19.508436</v>
      </c>
      <c r="F18" s="102">
        <f>F19</f>
        <v>19.508436</v>
      </c>
      <c r="G18" s="102">
        <f>G19</f>
        <v>0</v>
      </c>
      <c r="H18" s="102">
        <f>H19</f>
        <v>0</v>
      </c>
      <c r="I18" s="102">
        <f>I19</f>
        <v>0</v>
      </c>
      <c r="J18" s="102">
        <f>J19</f>
        <v>0</v>
      </c>
      <c r="K18" s="108"/>
    </row>
    <row r="19" s="2" customFormat="1" ht="21" customHeight="1" spans="1:11">
      <c r="A19" s="101" t="s">
        <v>149</v>
      </c>
      <c r="B19" s="101"/>
      <c r="C19" s="101"/>
      <c r="D19" s="101" t="s">
        <v>148</v>
      </c>
      <c r="E19" s="102">
        <f t="shared" si="0"/>
        <v>19.508436</v>
      </c>
      <c r="F19" s="102">
        <f>195084.36/10000</f>
        <v>19.508436</v>
      </c>
      <c r="G19" s="102">
        <v>0</v>
      </c>
      <c r="H19" s="102">
        <v>0</v>
      </c>
      <c r="I19" s="102">
        <v>0</v>
      </c>
      <c r="J19" s="109">
        <v>0</v>
      </c>
      <c r="K19" s="108"/>
    </row>
    <row r="20" s="3" customFormat="1" ht="21" customHeight="1" spans="1:11">
      <c r="A20" s="100" t="s">
        <v>150</v>
      </c>
      <c r="B20" s="100"/>
      <c r="C20" s="100"/>
      <c r="D20" s="100" t="s">
        <v>151</v>
      </c>
      <c r="E20" s="99">
        <f t="shared" si="0"/>
        <v>185.330142</v>
      </c>
      <c r="F20" s="99">
        <f>F21</f>
        <v>185.330142</v>
      </c>
      <c r="G20" s="99">
        <f>G21</f>
        <v>0</v>
      </c>
      <c r="H20" s="99">
        <f>H21</f>
        <v>0</v>
      </c>
      <c r="I20" s="99">
        <f>I21</f>
        <v>0</v>
      </c>
      <c r="J20" s="99">
        <f>J21</f>
        <v>0</v>
      </c>
      <c r="K20" s="107"/>
    </row>
    <row r="21" s="2" customFormat="1" ht="21" customHeight="1" spans="1:11">
      <c r="A21" s="101" t="s">
        <v>152</v>
      </c>
      <c r="B21" s="101"/>
      <c r="C21" s="101"/>
      <c r="D21" s="101" t="s">
        <v>153</v>
      </c>
      <c r="E21" s="102">
        <f t="shared" si="0"/>
        <v>185.330142</v>
      </c>
      <c r="F21" s="102">
        <f>F22</f>
        <v>185.330142</v>
      </c>
      <c r="G21" s="102">
        <f>G22</f>
        <v>0</v>
      </c>
      <c r="H21" s="102">
        <f>H22</f>
        <v>0</v>
      </c>
      <c r="I21" s="102">
        <f>I22</f>
        <v>0</v>
      </c>
      <c r="J21" s="102">
        <f>J22</f>
        <v>0</v>
      </c>
      <c r="K21" s="108"/>
    </row>
    <row r="22" s="2" customFormat="1" ht="21" customHeight="1" spans="1:11">
      <c r="A22" s="101" t="s">
        <v>154</v>
      </c>
      <c r="B22" s="101"/>
      <c r="C22" s="101"/>
      <c r="D22" s="101" t="s">
        <v>155</v>
      </c>
      <c r="E22" s="102">
        <f t="shared" si="0"/>
        <v>185.330142</v>
      </c>
      <c r="F22" s="102">
        <f>1853301.42/10000</f>
        <v>185.330142</v>
      </c>
      <c r="G22" s="102">
        <v>0</v>
      </c>
      <c r="H22" s="102">
        <v>0</v>
      </c>
      <c r="I22" s="102">
        <v>0</v>
      </c>
      <c r="J22" s="109">
        <v>0</v>
      </c>
      <c r="K22" s="108"/>
    </row>
    <row r="23" s="3" customFormat="1" ht="21" customHeight="1" spans="1:11">
      <c r="A23" s="100" t="s">
        <v>156</v>
      </c>
      <c r="B23" s="100"/>
      <c r="C23" s="100"/>
      <c r="D23" s="100" t="s">
        <v>157</v>
      </c>
      <c r="E23" s="99">
        <f t="shared" si="0"/>
        <v>1435.462037</v>
      </c>
      <c r="F23" s="99">
        <f>F24</f>
        <v>887.738037</v>
      </c>
      <c r="G23" s="99">
        <f>G24</f>
        <v>547.724</v>
      </c>
      <c r="H23" s="99">
        <f>H24</f>
        <v>0</v>
      </c>
      <c r="I23" s="99">
        <f>I24</f>
        <v>0</v>
      </c>
      <c r="J23" s="99">
        <f>J24</f>
        <v>0</v>
      </c>
      <c r="K23" s="107"/>
    </row>
    <row r="24" s="2" customFormat="1" ht="21" customHeight="1" spans="1:11">
      <c r="A24" s="101" t="s">
        <v>158</v>
      </c>
      <c r="B24" s="101"/>
      <c r="C24" s="101"/>
      <c r="D24" s="101" t="s">
        <v>159</v>
      </c>
      <c r="E24" s="102">
        <f t="shared" si="0"/>
        <v>1435.462037</v>
      </c>
      <c r="F24" s="102">
        <f>SUM(F25:F28)</f>
        <v>887.738037</v>
      </c>
      <c r="G24" s="102">
        <f>SUM(G25:G28)</f>
        <v>547.724</v>
      </c>
      <c r="H24" s="102">
        <f>SUM(H25:H28)</f>
        <v>0</v>
      </c>
      <c r="I24" s="102">
        <f>SUM(I25:I28)</f>
        <v>0</v>
      </c>
      <c r="J24" s="102">
        <f>SUM(J25:J28)</f>
        <v>0</v>
      </c>
      <c r="K24" s="108"/>
    </row>
    <row r="25" s="2" customFormat="1" ht="21" customHeight="1" spans="1:11">
      <c r="A25" s="101" t="s">
        <v>160</v>
      </c>
      <c r="B25" s="101"/>
      <c r="C25" s="101"/>
      <c r="D25" s="101" t="s">
        <v>161</v>
      </c>
      <c r="E25" s="102">
        <f t="shared" si="0"/>
        <v>562.271878</v>
      </c>
      <c r="F25" s="102">
        <f>5622478.78/10000</f>
        <v>562.247878</v>
      </c>
      <c r="G25" s="102">
        <f>240/10000</f>
        <v>0.024</v>
      </c>
      <c r="H25" s="102">
        <v>0</v>
      </c>
      <c r="I25" s="102">
        <v>0</v>
      </c>
      <c r="J25" s="109">
        <v>0</v>
      </c>
      <c r="K25" s="108"/>
    </row>
    <row r="26" s="2" customFormat="1" ht="21" customHeight="1" spans="1:11">
      <c r="A26" s="101" t="s">
        <v>162</v>
      </c>
      <c r="B26" s="101"/>
      <c r="C26" s="101"/>
      <c r="D26" s="101" t="s">
        <v>163</v>
      </c>
      <c r="E26" s="102">
        <f t="shared" si="0"/>
        <v>8.1</v>
      </c>
      <c r="F26" s="102">
        <f>81000/10000</f>
        <v>8.1</v>
      </c>
      <c r="G26" s="102">
        <v>0</v>
      </c>
      <c r="H26" s="102">
        <v>0</v>
      </c>
      <c r="I26" s="102">
        <v>0</v>
      </c>
      <c r="J26" s="109">
        <v>0</v>
      </c>
      <c r="K26" s="108"/>
    </row>
    <row r="27" s="2" customFormat="1" ht="21" customHeight="1" spans="1:11">
      <c r="A27" s="101" t="s">
        <v>164</v>
      </c>
      <c r="B27" s="101"/>
      <c r="C27" s="101"/>
      <c r="D27" s="101" t="s">
        <v>165</v>
      </c>
      <c r="E27" s="102">
        <f t="shared" si="0"/>
        <v>0.075959</v>
      </c>
      <c r="F27" s="102">
        <f>759.59/10000</f>
        <v>0.075959</v>
      </c>
      <c r="G27" s="102">
        <v>0</v>
      </c>
      <c r="H27" s="102">
        <v>0</v>
      </c>
      <c r="I27" s="102">
        <v>0</v>
      </c>
      <c r="J27" s="109">
        <v>0</v>
      </c>
      <c r="K27" s="108"/>
    </row>
    <row r="28" s="2" customFormat="1" ht="21" customHeight="1" spans="1:11">
      <c r="A28" s="101" t="s">
        <v>166</v>
      </c>
      <c r="B28" s="101"/>
      <c r="C28" s="101"/>
      <c r="D28" s="101" t="s">
        <v>167</v>
      </c>
      <c r="E28" s="102">
        <f t="shared" si="0"/>
        <v>865.0142</v>
      </c>
      <c r="F28" s="102">
        <f>3173142/10000</f>
        <v>317.3142</v>
      </c>
      <c r="G28" s="102">
        <f>5477000/10000</f>
        <v>547.7</v>
      </c>
      <c r="H28" s="102">
        <v>0</v>
      </c>
      <c r="I28" s="102">
        <v>0</v>
      </c>
      <c r="J28" s="109">
        <v>0</v>
      </c>
      <c r="K28" s="108"/>
    </row>
    <row r="29" s="3" customFormat="1" ht="21" customHeight="1" spans="1:11">
      <c r="A29" s="100" t="s">
        <v>168</v>
      </c>
      <c r="B29" s="100"/>
      <c r="C29" s="100"/>
      <c r="D29" s="100" t="s">
        <v>169</v>
      </c>
      <c r="E29" s="99">
        <f t="shared" si="0"/>
        <v>190.719843</v>
      </c>
      <c r="F29" s="99">
        <f>F30</f>
        <v>0</v>
      </c>
      <c r="G29" s="99">
        <f>G30</f>
        <v>190.719843</v>
      </c>
      <c r="H29" s="99">
        <f>H30</f>
        <v>0</v>
      </c>
      <c r="I29" s="99">
        <f>I30</f>
        <v>0</v>
      </c>
      <c r="J29" s="99">
        <f>J30</f>
        <v>0</v>
      </c>
      <c r="K29" s="107"/>
    </row>
    <row r="30" s="2" customFormat="1" ht="21" customHeight="1" spans="1:11">
      <c r="A30" s="101" t="s">
        <v>170</v>
      </c>
      <c r="B30" s="101"/>
      <c r="C30" s="101"/>
      <c r="D30" s="101" t="s">
        <v>171</v>
      </c>
      <c r="E30" s="102">
        <f t="shared" si="0"/>
        <v>190.719843</v>
      </c>
      <c r="F30" s="102">
        <f>F31</f>
        <v>0</v>
      </c>
      <c r="G30" s="102">
        <f>G31</f>
        <v>190.719843</v>
      </c>
      <c r="H30" s="102">
        <f>H31</f>
        <v>0</v>
      </c>
      <c r="I30" s="102">
        <f>I31</f>
        <v>0</v>
      </c>
      <c r="J30" s="102">
        <f>J31</f>
        <v>0</v>
      </c>
      <c r="K30" s="108"/>
    </row>
    <row r="31" s="2" customFormat="1" ht="21" customHeight="1" spans="1:11">
      <c r="A31" s="101" t="s">
        <v>172</v>
      </c>
      <c r="B31" s="101"/>
      <c r="C31" s="101"/>
      <c r="D31" s="101" t="s">
        <v>173</v>
      </c>
      <c r="E31" s="102">
        <f t="shared" si="0"/>
        <v>190.719843</v>
      </c>
      <c r="F31" s="102">
        <v>0</v>
      </c>
      <c r="G31" s="102">
        <f>1907198.43/10000</f>
        <v>190.719843</v>
      </c>
      <c r="H31" s="102">
        <v>0</v>
      </c>
      <c r="I31" s="102">
        <v>0</v>
      </c>
      <c r="J31" s="109">
        <v>0</v>
      </c>
      <c r="K31" s="108"/>
    </row>
    <row r="32" s="3" customFormat="1" ht="21" customHeight="1" spans="1:11">
      <c r="A32" s="100" t="s">
        <v>174</v>
      </c>
      <c r="B32" s="100"/>
      <c r="C32" s="100"/>
      <c r="D32" s="100" t="s">
        <v>175</v>
      </c>
      <c r="E32" s="99">
        <f t="shared" si="0"/>
        <v>5582.165565</v>
      </c>
      <c r="F32" s="99">
        <f>F33</f>
        <v>4618.833062</v>
      </c>
      <c r="G32" s="99">
        <f>G33</f>
        <v>963.332503</v>
      </c>
      <c r="H32" s="99">
        <f>H33</f>
        <v>0</v>
      </c>
      <c r="I32" s="99">
        <f>I33</f>
        <v>0</v>
      </c>
      <c r="J32" s="99">
        <f>J33</f>
        <v>0</v>
      </c>
      <c r="K32" s="107"/>
    </row>
    <row r="33" s="2" customFormat="1" ht="21" customHeight="1" spans="1:11">
      <c r="A33" s="101" t="s">
        <v>176</v>
      </c>
      <c r="B33" s="101"/>
      <c r="C33" s="101"/>
      <c r="D33" s="101" t="s">
        <v>177</v>
      </c>
      <c r="E33" s="102">
        <f t="shared" si="0"/>
        <v>5582.165565</v>
      </c>
      <c r="F33" s="102">
        <f>SUM(F34:F37)</f>
        <v>4618.833062</v>
      </c>
      <c r="G33" s="102">
        <f>SUM(G34:G37)</f>
        <v>963.332503</v>
      </c>
      <c r="H33" s="102">
        <f>SUM(H34:H37)</f>
        <v>0</v>
      </c>
      <c r="I33" s="102">
        <f>SUM(I34:I37)</f>
        <v>0</v>
      </c>
      <c r="J33" s="102">
        <f>SUM(J34:J37)</f>
        <v>0</v>
      </c>
      <c r="K33" s="108"/>
    </row>
    <row r="34" s="2" customFormat="1" ht="21" customHeight="1" spans="1:11">
      <c r="A34" s="101" t="s">
        <v>178</v>
      </c>
      <c r="B34" s="101"/>
      <c r="C34" s="101"/>
      <c r="D34" s="101" t="s">
        <v>179</v>
      </c>
      <c r="E34" s="102">
        <f t="shared" si="0"/>
        <v>3490.196865</v>
      </c>
      <c r="F34" s="102">
        <f>34257728.65/10000</f>
        <v>3425.772865</v>
      </c>
      <c r="G34" s="102">
        <f>644240/10000</f>
        <v>64.424</v>
      </c>
      <c r="H34" s="102">
        <v>0</v>
      </c>
      <c r="I34" s="102">
        <v>0</v>
      </c>
      <c r="J34" s="109">
        <v>0</v>
      </c>
      <c r="K34" s="108"/>
    </row>
    <row r="35" s="2" customFormat="1" ht="21" customHeight="1" spans="1:11">
      <c r="A35" s="101" t="s">
        <v>180</v>
      </c>
      <c r="B35" s="101"/>
      <c r="C35" s="101"/>
      <c r="D35" s="101" t="s">
        <v>181</v>
      </c>
      <c r="E35" s="102">
        <f t="shared" si="0"/>
        <v>281</v>
      </c>
      <c r="F35" s="102">
        <f>2500000/10000</f>
        <v>250</v>
      </c>
      <c r="G35" s="102">
        <f>310000/10000</f>
        <v>31</v>
      </c>
      <c r="H35" s="102">
        <v>0</v>
      </c>
      <c r="I35" s="102">
        <v>0</v>
      </c>
      <c r="J35" s="109">
        <v>0</v>
      </c>
      <c r="K35" s="108"/>
    </row>
    <row r="36" s="2" customFormat="1" ht="21" customHeight="1" spans="1:11">
      <c r="A36" s="101" t="s">
        <v>182</v>
      </c>
      <c r="B36" s="101"/>
      <c r="C36" s="101"/>
      <c r="D36" s="101" t="s">
        <v>183</v>
      </c>
      <c r="E36" s="102">
        <f t="shared" si="0"/>
        <v>383.6334</v>
      </c>
      <c r="F36" s="102">
        <v>0</v>
      </c>
      <c r="G36" s="102">
        <f>3836334/10000</f>
        <v>383.6334</v>
      </c>
      <c r="H36" s="102">
        <v>0</v>
      </c>
      <c r="I36" s="102">
        <v>0</v>
      </c>
      <c r="J36" s="109">
        <v>0</v>
      </c>
      <c r="K36" s="108"/>
    </row>
    <row r="37" s="2" customFormat="1" ht="21" customHeight="1" spans="1:11">
      <c r="A37" s="101" t="s">
        <v>184</v>
      </c>
      <c r="B37" s="101"/>
      <c r="C37" s="101"/>
      <c r="D37" s="101" t="s">
        <v>185</v>
      </c>
      <c r="E37" s="102">
        <f t="shared" si="0"/>
        <v>1427.3353</v>
      </c>
      <c r="F37" s="102">
        <f>9430601.97/10000</f>
        <v>943.060197</v>
      </c>
      <c r="G37" s="102">
        <f>4842751.03/10000</f>
        <v>484.275103</v>
      </c>
      <c r="H37" s="102">
        <v>0</v>
      </c>
      <c r="I37" s="102">
        <v>0</v>
      </c>
      <c r="J37" s="109">
        <v>0</v>
      </c>
      <c r="K37" s="108"/>
    </row>
    <row r="38" s="3" customFormat="1" ht="21" customHeight="1" spans="1:11">
      <c r="A38" s="100" t="s">
        <v>186</v>
      </c>
      <c r="B38" s="100"/>
      <c r="C38" s="100"/>
      <c r="D38" s="100" t="s">
        <v>187</v>
      </c>
      <c r="E38" s="99">
        <f t="shared" si="0"/>
        <v>234.101232</v>
      </c>
      <c r="F38" s="99">
        <f>F39</f>
        <v>234.101232</v>
      </c>
      <c r="G38" s="99">
        <f>G39</f>
        <v>0</v>
      </c>
      <c r="H38" s="99">
        <f>H39</f>
        <v>0</v>
      </c>
      <c r="I38" s="99">
        <f>I39</f>
        <v>0</v>
      </c>
      <c r="J38" s="99">
        <f>J39</f>
        <v>0</v>
      </c>
      <c r="K38" s="107"/>
    </row>
    <row r="39" s="2" customFormat="1" ht="21" customHeight="1" spans="1:11">
      <c r="A39" s="101" t="s">
        <v>188</v>
      </c>
      <c r="B39" s="101"/>
      <c r="C39" s="101"/>
      <c r="D39" s="101" t="s">
        <v>189</v>
      </c>
      <c r="E39" s="102">
        <f t="shared" si="0"/>
        <v>234.101232</v>
      </c>
      <c r="F39" s="102">
        <f>F40</f>
        <v>234.101232</v>
      </c>
      <c r="G39" s="102">
        <f>G40</f>
        <v>0</v>
      </c>
      <c r="H39" s="102">
        <f>H40</f>
        <v>0</v>
      </c>
      <c r="I39" s="102">
        <f>I40</f>
        <v>0</v>
      </c>
      <c r="J39" s="102">
        <f>J40</f>
        <v>0</v>
      </c>
      <c r="K39" s="108"/>
    </row>
    <row r="40" s="2" customFormat="1" ht="21" customHeight="1" spans="1:11">
      <c r="A40" s="101" t="s">
        <v>190</v>
      </c>
      <c r="B40" s="101"/>
      <c r="C40" s="101"/>
      <c r="D40" s="101" t="s">
        <v>191</v>
      </c>
      <c r="E40" s="102">
        <f t="shared" si="0"/>
        <v>234.101232</v>
      </c>
      <c r="F40" s="102">
        <f>2341012.32/10000</f>
        <v>234.101232</v>
      </c>
      <c r="G40" s="102">
        <v>0</v>
      </c>
      <c r="H40" s="102">
        <v>0</v>
      </c>
      <c r="I40" s="102">
        <v>0</v>
      </c>
      <c r="J40" s="109">
        <v>0</v>
      </c>
      <c r="K40" s="108"/>
    </row>
    <row r="41" s="3" customFormat="1" ht="21" customHeight="1" spans="1:11">
      <c r="A41" s="100" t="s">
        <v>192</v>
      </c>
      <c r="B41" s="100"/>
      <c r="C41" s="100"/>
      <c r="D41" s="100" t="s">
        <v>193</v>
      </c>
      <c r="E41" s="99">
        <f t="shared" si="0"/>
        <v>205</v>
      </c>
      <c r="F41" s="99">
        <f>F42</f>
        <v>0</v>
      </c>
      <c r="G41" s="99">
        <f>G42</f>
        <v>205</v>
      </c>
      <c r="H41" s="99">
        <f>H42</f>
        <v>0</v>
      </c>
      <c r="I41" s="99">
        <f>I42</f>
        <v>0</v>
      </c>
      <c r="J41" s="99">
        <f>J42</f>
        <v>0</v>
      </c>
      <c r="K41" s="107"/>
    </row>
    <row r="42" s="2" customFormat="1" ht="21" customHeight="1" spans="1:11">
      <c r="A42" s="101" t="s">
        <v>194</v>
      </c>
      <c r="B42" s="101"/>
      <c r="C42" s="101"/>
      <c r="D42" s="101" t="s">
        <v>195</v>
      </c>
      <c r="E42" s="102">
        <f t="shared" si="0"/>
        <v>205</v>
      </c>
      <c r="F42" s="102">
        <f>F43</f>
        <v>0</v>
      </c>
      <c r="G42" s="102">
        <f>G43</f>
        <v>205</v>
      </c>
      <c r="H42" s="102">
        <f>H43</f>
        <v>0</v>
      </c>
      <c r="I42" s="102">
        <f>I43</f>
        <v>0</v>
      </c>
      <c r="J42" s="102">
        <f>J43</f>
        <v>0</v>
      </c>
      <c r="K42" s="108"/>
    </row>
    <row r="43" s="2" customFormat="1" ht="21" customHeight="1" spans="1:11">
      <c r="A43" s="101" t="s">
        <v>196</v>
      </c>
      <c r="B43" s="101"/>
      <c r="C43" s="101"/>
      <c r="D43" s="101" t="s">
        <v>195</v>
      </c>
      <c r="E43" s="102">
        <f t="shared" si="0"/>
        <v>205</v>
      </c>
      <c r="F43" s="102">
        <v>0</v>
      </c>
      <c r="G43" s="102">
        <f>2050000/10000</f>
        <v>205</v>
      </c>
      <c r="H43" s="102">
        <v>0</v>
      </c>
      <c r="I43" s="102">
        <v>0</v>
      </c>
      <c r="J43" s="109">
        <v>0</v>
      </c>
      <c r="K43" s="108"/>
    </row>
    <row r="44" s="3" customFormat="1" ht="21" customHeight="1" spans="1:11">
      <c r="A44" s="100" t="s">
        <v>197</v>
      </c>
      <c r="B44" s="100"/>
      <c r="C44" s="100"/>
      <c r="D44" s="100" t="s">
        <v>198</v>
      </c>
      <c r="E44" s="99">
        <f t="shared" si="0"/>
        <v>851.7404</v>
      </c>
      <c r="F44" s="99">
        <f>F45</f>
        <v>11.9855</v>
      </c>
      <c r="G44" s="99">
        <f>G45</f>
        <v>839.7549</v>
      </c>
      <c r="H44" s="99">
        <f>H45</f>
        <v>0</v>
      </c>
      <c r="I44" s="99">
        <f>I45</f>
        <v>0</v>
      </c>
      <c r="J44" s="99">
        <f>J45</f>
        <v>0</v>
      </c>
      <c r="K44" s="107"/>
    </row>
    <row r="45" s="2" customFormat="1" ht="21" customHeight="1" spans="1:11">
      <c r="A45" s="101" t="s">
        <v>199</v>
      </c>
      <c r="B45" s="101"/>
      <c r="C45" s="101"/>
      <c r="D45" s="101" t="s">
        <v>200</v>
      </c>
      <c r="E45" s="102">
        <f t="shared" si="0"/>
        <v>851.7404</v>
      </c>
      <c r="F45" s="102">
        <f>F46</f>
        <v>11.9855</v>
      </c>
      <c r="G45" s="102">
        <f>G46</f>
        <v>839.7549</v>
      </c>
      <c r="H45" s="102">
        <f>H46</f>
        <v>0</v>
      </c>
      <c r="I45" s="102">
        <f>I46</f>
        <v>0</v>
      </c>
      <c r="J45" s="102">
        <f>J46</f>
        <v>0</v>
      </c>
      <c r="K45" s="108"/>
    </row>
    <row r="46" s="2" customFormat="1" ht="21" customHeight="1" spans="1:11">
      <c r="A46" s="101" t="s">
        <v>201</v>
      </c>
      <c r="B46" s="101"/>
      <c r="C46" s="101"/>
      <c r="D46" s="101" t="s">
        <v>202</v>
      </c>
      <c r="E46" s="102">
        <f t="shared" si="0"/>
        <v>851.7404</v>
      </c>
      <c r="F46" s="102">
        <f>119855/10000</f>
        <v>11.9855</v>
      </c>
      <c r="G46" s="102">
        <f>8397549/10000</f>
        <v>839.7549</v>
      </c>
      <c r="H46" s="102">
        <v>0</v>
      </c>
      <c r="I46" s="102">
        <v>0</v>
      </c>
      <c r="J46" s="109">
        <v>0</v>
      </c>
      <c r="K46" s="108"/>
    </row>
    <row r="47" s="3" customFormat="1" ht="21" customHeight="1" spans="1:11">
      <c r="A47" s="100" t="s">
        <v>203</v>
      </c>
      <c r="B47" s="100"/>
      <c r="C47" s="100"/>
      <c r="D47" s="100" t="s">
        <v>204</v>
      </c>
      <c r="E47" s="99">
        <f t="shared" si="0"/>
        <v>4658.105229</v>
      </c>
      <c r="F47" s="99">
        <f>F48</f>
        <v>1996.292771</v>
      </c>
      <c r="G47" s="99">
        <f>G48</f>
        <v>2661.812458</v>
      </c>
      <c r="H47" s="99">
        <f>H48</f>
        <v>0</v>
      </c>
      <c r="I47" s="99">
        <f>I48</f>
        <v>0</v>
      </c>
      <c r="J47" s="99">
        <f>J48</f>
        <v>0</v>
      </c>
      <c r="K47" s="107"/>
    </row>
    <row r="48" s="2" customFormat="1" ht="21" customHeight="1" spans="1:11">
      <c r="A48" s="101" t="s">
        <v>205</v>
      </c>
      <c r="B48" s="101"/>
      <c r="C48" s="101"/>
      <c r="D48" s="101" t="s">
        <v>204</v>
      </c>
      <c r="E48" s="102">
        <f t="shared" si="0"/>
        <v>4658.105229</v>
      </c>
      <c r="F48" s="102">
        <f>F49</f>
        <v>1996.292771</v>
      </c>
      <c r="G48" s="102">
        <f>G49</f>
        <v>2661.812458</v>
      </c>
      <c r="H48" s="102">
        <f>H49</f>
        <v>0</v>
      </c>
      <c r="I48" s="102">
        <f>I49</f>
        <v>0</v>
      </c>
      <c r="J48" s="102">
        <f>J49</f>
        <v>0</v>
      </c>
      <c r="K48" s="108"/>
    </row>
    <row r="49" s="2" customFormat="1" ht="21" customHeight="1" spans="1:11">
      <c r="A49" s="103" t="s">
        <v>206</v>
      </c>
      <c r="B49" s="103"/>
      <c r="C49" s="103"/>
      <c r="D49" s="103" t="s">
        <v>204</v>
      </c>
      <c r="E49" s="102">
        <f t="shared" si="0"/>
        <v>4658.105229</v>
      </c>
      <c r="F49" s="104">
        <f>19962927.71/10000</f>
        <v>1996.292771</v>
      </c>
      <c r="G49" s="104">
        <f>26618124.58/10000</f>
        <v>2661.812458</v>
      </c>
      <c r="H49" s="104">
        <v>0</v>
      </c>
      <c r="I49" s="104">
        <v>0</v>
      </c>
      <c r="J49" s="110">
        <v>0</v>
      </c>
      <c r="K49" s="108"/>
    </row>
    <row r="50" s="56" customFormat="1" ht="21" customHeight="1" spans="1:10">
      <c r="A50" s="105" t="s">
        <v>216</v>
      </c>
      <c r="B50" s="105" t="s">
        <v>5</v>
      </c>
      <c r="C50" s="105" t="s">
        <v>5</v>
      </c>
      <c r="D50" s="105" t="s">
        <v>5</v>
      </c>
      <c r="E50" s="105" t="s">
        <v>5</v>
      </c>
      <c r="F50" s="105" t="s">
        <v>5</v>
      </c>
      <c r="G50" s="105" t="s">
        <v>5</v>
      </c>
      <c r="H50" s="105" t="s">
        <v>5</v>
      </c>
      <c r="I50" s="105" t="s">
        <v>5</v>
      </c>
      <c r="J50" s="105" t="s">
        <v>5</v>
      </c>
    </row>
    <row r="52" spans="6:6">
      <c r="F52" s="42" t="s">
        <v>217</v>
      </c>
    </row>
  </sheetData>
  <mergeCells count="99">
    <mergeCell ref="A1:J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J50"/>
    <mergeCell ref="A50:J50"/>
    <mergeCell ref="A50:J50"/>
    <mergeCell ref="A50:J50"/>
    <mergeCell ref="A50:J50"/>
    <mergeCell ref="A50:J50"/>
    <mergeCell ref="A50:J50"/>
    <mergeCell ref="A50:J50"/>
    <mergeCell ref="A50:J50"/>
    <mergeCell ref="A50:J50"/>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zoomScaleSheetLayoutView="60" workbookViewId="0">
      <pane xSplit="2" ySplit="7" topLeftCell="C20" activePane="bottomRight" state="frozen"/>
      <selection/>
      <selection pane="topRight"/>
      <selection pane="bottomLeft"/>
      <selection pane="bottomRight" activeCell="A10" sqref="A10"/>
    </sheetView>
  </sheetViews>
  <sheetFormatPr defaultColWidth="8.88571428571429" defaultRowHeight="12.75"/>
  <cols>
    <col min="1" max="1" width="29.847619047619" style="5" customWidth="1"/>
    <col min="2" max="2" width="5.42857142857143" style="5" customWidth="1"/>
    <col min="3" max="3" width="17.8571428571429" style="5" customWidth="1"/>
    <col min="4" max="4" width="33.7142857142857" style="5" customWidth="1"/>
    <col min="5" max="5" width="5.42857142857143" style="5" customWidth="1"/>
    <col min="6" max="6" width="16" style="5" customWidth="1"/>
    <col min="7" max="7" width="14.847619047619" style="5" customWidth="1"/>
    <col min="8" max="8" width="15.4285714285714" style="5" customWidth="1"/>
    <col min="9" max="9" width="14.1333333333333" style="5" customWidth="1"/>
    <col min="10" max="10" width="9.76190476190476" style="5"/>
    <col min="11" max="16384" width="8.88571428571429" style="5"/>
  </cols>
  <sheetData>
    <row r="1" s="56" customFormat="1" ht="30" customHeight="1" spans="1:9">
      <c r="A1" s="6" t="s">
        <v>218</v>
      </c>
      <c r="B1" s="7"/>
      <c r="C1" s="7"/>
      <c r="D1" s="6" t="s">
        <v>218</v>
      </c>
      <c r="E1" s="7"/>
      <c r="F1" s="7"/>
      <c r="G1" s="7"/>
      <c r="H1" s="7"/>
      <c r="I1" s="7"/>
    </row>
    <row r="2" s="56" customFormat="1" ht="18" customHeight="1" spans="9:9">
      <c r="I2" s="85" t="s">
        <v>219</v>
      </c>
    </row>
    <row r="3" s="56" customFormat="1" ht="18" customHeight="1" spans="1:9">
      <c r="A3" s="58" t="str">
        <f>支出决算表!A3</f>
        <v>部门：岳阳县自然资源局</v>
      </c>
      <c r="I3" s="85" t="s">
        <v>3</v>
      </c>
    </row>
    <row r="4" s="57" customFormat="1" ht="18" customHeight="1" spans="1:9">
      <c r="A4" s="59" t="s">
        <v>220</v>
      </c>
      <c r="B4" s="60" t="s">
        <v>5</v>
      </c>
      <c r="C4" s="60" t="s">
        <v>5</v>
      </c>
      <c r="D4" s="60" t="s">
        <v>221</v>
      </c>
      <c r="E4" s="60" t="s">
        <v>5</v>
      </c>
      <c r="F4" s="60" t="s">
        <v>5</v>
      </c>
      <c r="G4" s="60" t="s">
        <v>5</v>
      </c>
      <c r="H4" s="60" t="s">
        <v>5</v>
      </c>
      <c r="I4" s="60" t="s">
        <v>5</v>
      </c>
    </row>
    <row r="5" s="57" customFormat="1" ht="18" customHeight="1" spans="1:9">
      <c r="A5" s="61" t="s">
        <v>7</v>
      </c>
      <c r="B5" s="62" t="s">
        <v>8</v>
      </c>
      <c r="C5" s="62" t="s">
        <v>9</v>
      </c>
      <c r="D5" s="62" t="s">
        <v>7</v>
      </c>
      <c r="E5" s="62" t="s">
        <v>8</v>
      </c>
      <c r="F5" s="63" t="s">
        <v>130</v>
      </c>
      <c r="G5" s="62" t="s">
        <v>222</v>
      </c>
      <c r="H5" s="62" t="s">
        <v>223</v>
      </c>
      <c r="I5" s="62" t="s">
        <v>224</v>
      </c>
    </row>
    <row r="6" s="57" customFormat="1" ht="18" customHeight="1" spans="1:9">
      <c r="A6" s="61" t="s">
        <v>5</v>
      </c>
      <c r="B6" s="62" t="s">
        <v>5</v>
      </c>
      <c r="C6" s="62" t="s">
        <v>5</v>
      </c>
      <c r="D6" s="62" t="s">
        <v>5</v>
      </c>
      <c r="E6" s="62" t="s">
        <v>5</v>
      </c>
      <c r="F6" s="63" t="s">
        <v>127</v>
      </c>
      <c r="G6" s="62" t="s">
        <v>222</v>
      </c>
      <c r="H6" s="62" t="s">
        <v>223</v>
      </c>
      <c r="I6" s="62" t="s">
        <v>5</v>
      </c>
    </row>
    <row r="7" s="57" customFormat="1" ht="18" customHeight="1" spans="1:9">
      <c r="A7" s="64" t="s">
        <v>10</v>
      </c>
      <c r="B7" s="63" t="s">
        <v>5</v>
      </c>
      <c r="C7" s="63" t="s">
        <v>11</v>
      </c>
      <c r="D7" s="63" t="s">
        <v>10</v>
      </c>
      <c r="E7" s="63" t="s">
        <v>5</v>
      </c>
      <c r="F7" s="63" t="s">
        <v>12</v>
      </c>
      <c r="G7" s="63" t="s">
        <v>20</v>
      </c>
      <c r="H7" s="63" t="s">
        <v>24</v>
      </c>
      <c r="I7" s="63" t="s">
        <v>28</v>
      </c>
    </row>
    <row r="8" s="56" customFormat="1" ht="18" customHeight="1" spans="1:9">
      <c r="A8" s="65" t="s">
        <v>225</v>
      </c>
      <c r="B8" s="66" t="s">
        <v>11</v>
      </c>
      <c r="C8" s="67">
        <f>一般公共预算财政拨款支出决算表!E9</f>
        <v>7456.000394</v>
      </c>
      <c r="D8" s="68" t="s">
        <v>14</v>
      </c>
      <c r="E8" s="66" t="s">
        <v>18</v>
      </c>
      <c r="F8" s="69">
        <f>SUM(G8:I8)</f>
        <v>76.83</v>
      </c>
      <c r="G8" s="30">
        <f>一般公共预算财政拨款支出决算表!E10</f>
        <v>76.83</v>
      </c>
      <c r="H8" s="30">
        <v>0</v>
      </c>
      <c r="I8" s="86">
        <v>0</v>
      </c>
    </row>
    <row r="9" s="56" customFormat="1" ht="18" customHeight="1" spans="1:9">
      <c r="A9" s="65" t="s">
        <v>226</v>
      </c>
      <c r="B9" s="66" t="s">
        <v>12</v>
      </c>
      <c r="C9" s="70">
        <f>政府性基金预算财政拨款收入支出决算表!F7</f>
        <v>1435.462037</v>
      </c>
      <c r="D9" s="68" t="s">
        <v>17</v>
      </c>
      <c r="E9" s="66" t="s">
        <v>22</v>
      </c>
      <c r="F9" s="71">
        <f t="shared" ref="F9:F34" si="0">SUM(G9:I9)</f>
        <v>0</v>
      </c>
      <c r="G9" s="31">
        <v>0</v>
      </c>
      <c r="H9" s="31">
        <v>0</v>
      </c>
      <c r="I9" s="53">
        <v>0</v>
      </c>
    </row>
    <row r="10" s="56" customFormat="1" ht="18" customHeight="1" spans="1:9">
      <c r="A10" s="65" t="s">
        <v>227</v>
      </c>
      <c r="B10" s="66" t="s">
        <v>20</v>
      </c>
      <c r="C10" s="70">
        <f>国有资本经营预算财政拨款支出决算表!E9</f>
        <v>205</v>
      </c>
      <c r="D10" s="68" t="s">
        <v>21</v>
      </c>
      <c r="E10" s="66" t="s">
        <v>26</v>
      </c>
      <c r="F10" s="71">
        <f t="shared" si="0"/>
        <v>0</v>
      </c>
      <c r="G10" s="31">
        <v>0</v>
      </c>
      <c r="H10" s="31">
        <v>0</v>
      </c>
      <c r="I10" s="53">
        <v>0</v>
      </c>
    </row>
    <row r="11" s="56" customFormat="1" ht="18" customHeight="1" spans="1:9">
      <c r="A11" s="65" t="s">
        <v>5</v>
      </c>
      <c r="B11" s="66" t="s">
        <v>24</v>
      </c>
      <c r="C11" s="72" t="s">
        <v>5</v>
      </c>
      <c r="D11" s="68" t="s">
        <v>25</v>
      </c>
      <c r="E11" s="66" t="s">
        <v>30</v>
      </c>
      <c r="F11" s="71">
        <f t="shared" si="0"/>
        <v>0</v>
      </c>
      <c r="G11" s="31">
        <v>0</v>
      </c>
      <c r="H11" s="31">
        <v>0</v>
      </c>
      <c r="I11" s="53">
        <v>0</v>
      </c>
    </row>
    <row r="12" s="56" customFormat="1" ht="18" customHeight="1" spans="1:9">
      <c r="A12" s="65" t="s">
        <v>5</v>
      </c>
      <c r="B12" s="66" t="s">
        <v>28</v>
      </c>
      <c r="C12" s="72" t="s">
        <v>5</v>
      </c>
      <c r="D12" s="68" t="s">
        <v>29</v>
      </c>
      <c r="E12" s="66" t="s">
        <v>34</v>
      </c>
      <c r="F12" s="71">
        <f t="shared" si="0"/>
        <v>0</v>
      </c>
      <c r="G12" s="31">
        <v>0</v>
      </c>
      <c r="H12" s="31">
        <v>0</v>
      </c>
      <c r="I12" s="53">
        <v>0</v>
      </c>
    </row>
    <row r="13" s="56" customFormat="1" ht="18" customHeight="1" spans="1:9">
      <c r="A13" s="65" t="s">
        <v>5</v>
      </c>
      <c r="B13" s="66" t="s">
        <v>32</v>
      </c>
      <c r="C13" s="72" t="s">
        <v>5</v>
      </c>
      <c r="D13" s="68" t="s">
        <v>33</v>
      </c>
      <c r="E13" s="66" t="s">
        <v>38</v>
      </c>
      <c r="F13" s="71">
        <f t="shared" si="0"/>
        <v>0</v>
      </c>
      <c r="G13" s="31">
        <v>0</v>
      </c>
      <c r="H13" s="31">
        <v>0</v>
      </c>
      <c r="I13" s="53">
        <v>0</v>
      </c>
    </row>
    <row r="14" s="56" customFormat="1" ht="18" customHeight="1" spans="1:9">
      <c r="A14" s="65" t="s">
        <v>5</v>
      </c>
      <c r="B14" s="66" t="s">
        <v>36</v>
      </c>
      <c r="C14" s="72" t="s">
        <v>5</v>
      </c>
      <c r="D14" s="68" t="s">
        <v>37</v>
      </c>
      <c r="E14" s="66" t="s">
        <v>42</v>
      </c>
      <c r="F14" s="71">
        <f t="shared" si="0"/>
        <v>0</v>
      </c>
      <c r="G14" s="31">
        <v>0</v>
      </c>
      <c r="H14" s="31">
        <v>0</v>
      </c>
      <c r="I14" s="53">
        <v>0</v>
      </c>
    </row>
    <row r="15" s="56" customFormat="1" ht="18" customHeight="1" spans="1:9">
      <c r="A15" s="65" t="s">
        <v>5</v>
      </c>
      <c r="B15" s="66" t="s">
        <v>40</v>
      </c>
      <c r="C15" s="72" t="s">
        <v>5</v>
      </c>
      <c r="D15" s="68" t="s">
        <v>41</v>
      </c>
      <c r="E15" s="66" t="s">
        <v>45</v>
      </c>
      <c r="F15" s="71">
        <f t="shared" si="0"/>
        <v>335.113212</v>
      </c>
      <c r="G15" s="31">
        <f>一般公共预算财政拨款支出决算表!E13</f>
        <v>335.113212</v>
      </c>
      <c r="H15" s="31">
        <v>0</v>
      </c>
      <c r="I15" s="53">
        <v>0</v>
      </c>
    </row>
    <row r="16" s="56" customFormat="1" ht="18" customHeight="1" spans="1:9">
      <c r="A16" s="65" t="s">
        <v>5</v>
      </c>
      <c r="B16" s="66" t="s">
        <v>43</v>
      </c>
      <c r="C16" s="72" t="s">
        <v>5</v>
      </c>
      <c r="D16" s="68" t="s">
        <v>44</v>
      </c>
      <c r="E16" s="66" t="s">
        <v>48</v>
      </c>
      <c r="F16" s="71">
        <f t="shared" si="0"/>
        <v>185.330142</v>
      </c>
      <c r="G16" s="31">
        <f>一般公共预算财政拨款支出决算表!E20</f>
        <v>185.330142</v>
      </c>
      <c r="H16" s="31">
        <v>0</v>
      </c>
      <c r="I16" s="53">
        <v>0</v>
      </c>
    </row>
    <row r="17" s="56" customFormat="1" ht="18" customHeight="1" spans="1:9">
      <c r="A17" s="65" t="s">
        <v>5</v>
      </c>
      <c r="B17" s="66" t="s">
        <v>46</v>
      </c>
      <c r="C17" s="72" t="s">
        <v>5</v>
      </c>
      <c r="D17" s="68" t="s">
        <v>47</v>
      </c>
      <c r="E17" s="66" t="s">
        <v>51</v>
      </c>
      <c r="F17" s="71">
        <f t="shared" si="0"/>
        <v>0</v>
      </c>
      <c r="G17" s="31">
        <v>0</v>
      </c>
      <c r="H17" s="31">
        <v>0</v>
      </c>
      <c r="I17" s="53">
        <v>0</v>
      </c>
    </row>
    <row r="18" s="56" customFormat="1" ht="18" customHeight="1" spans="1:9">
      <c r="A18" s="65" t="s">
        <v>5</v>
      </c>
      <c r="B18" s="66" t="s">
        <v>49</v>
      </c>
      <c r="C18" s="72" t="s">
        <v>5</v>
      </c>
      <c r="D18" s="68" t="s">
        <v>50</v>
      </c>
      <c r="E18" s="66" t="s">
        <v>54</v>
      </c>
      <c r="F18" s="71">
        <f t="shared" si="0"/>
        <v>1435.462037</v>
      </c>
      <c r="G18" s="31">
        <v>0</v>
      </c>
      <c r="H18" s="31">
        <f>政府性基金预算财政拨款收入支出决算表!G7</f>
        <v>1435.462037</v>
      </c>
      <c r="I18" s="53">
        <v>0</v>
      </c>
    </row>
    <row r="19" s="56" customFormat="1" ht="18" customHeight="1" spans="1:9">
      <c r="A19" s="65" t="s">
        <v>5</v>
      </c>
      <c r="B19" s="66" t="s">
        <v>52</v>
      </c>
      <c r="C19" s="72" t="s">
        <v>5</v>
      </c>
      <c r="D19" s="68" t="s">
        <v>53</v>
      </c>
      <c r="E19" s="66" t="s">
        <v>57</v>
      </c>
      <c r="F19" s="71">
        <f t="shared" si="0"/>
        <v>190.719843</v>
      </c>
      <c r="G19" s="31">
        <f>一般公共预算财政拨款支出决算表!E23</f>
        <v>190.719843</v>
      </c>
      <c r="H19" s="31">
        <v>0</v>
      </c>
      <c r="I19" s="53">
        <v>0</v>
      </c>
    </row>
    <row r="20" s="56" customFormat="1" ht="18" customHeight="1" spans="1:9">
      <c r="A20" s="65" t="s">
        <v>5</v>
      </c>
      <c r="B20" s="66" t="s">
        <v>55</v>
      </c>
      <c r="C20" s="72" t="s">
        <v>5</v>
      </c>
      <c r="D20" s="68" t="s">
        <v>56</v>
      </c>
      <c r="E20" s="66" t="s">
        <v>60</v>
      </c>
      <c r="F20" s="71">
        <f t="shared" si="0"/>
        <v>0</v>
      </c>
      <c r="G20" s="31">
        <v>0</v>
      </c>
      <c r="H20" s="31">
        <v>0</v>
      </c>
      <c r="I20" s="53">
        <v>0</v>
      </c>
    </row>
    <row r="21" s="56" customFormat="1" ht="18" customHeight="1" spans="1:9">
      <c r="A21" s="65" t="s">
        <v>5</v>
      </c>
      <c r="B21" s="66" t="s">
        <v>58</v>
      </c>
      <c r="C21" s="72" t="s">
        <v>5</v>
      </c>
      <c r="D21" s="68" t="s">
        <v>59</v>
      </c>
      <c r="E21" s="66" t="s">
        <v>63</v>
      </c>
      <c r="F21" s="71">
        <f t="shared" si="0"/>
        <v>0</v>
      </c>
      <c r="G21" s="31">
        <v>0</v>
      </c>
      <c r="H21" s="31">
        <v>0</v>
      </c>
      <c r="I21" s="53">
        <v>0</v>
      </c>
    </row>
    <row r="22" s="56" customFormat="1" ht="18" customHeight="1" spans="1:9">
      <c r="A22" s="65" t="s">
        <v>5</v>
      </c>
      <c r="B22" s="66" t="s">
        <v>61</v>
      </c>
      <c r="C22" s="72" t="s">
        <v>5</v>
      </c>
      <c r="D22" s="68" t="s">
        <v>62</v>
      </c>
      <c r="E22" s="66" t="s">
        <v>66</v>
      </c>
      <c r="F22" s="71">
        <f t="shared" si="0"/>
        <v>0</v>
      </c>
      <c r="G22" s="31">
        <v>0</v>
      </c>
      <c r="H22" s="31">
        <v>0</v>
      </c>
      <c r="I22" s="53">
        <v>0</v>
      </c>
    </row>
    <row r="23" s="56" customFormat="1" ht="18" customHeight="1" spans="1:9">
      <c r="A23" s="65" t="s">
        <v>5</v>
      </c>
      <c r="B23" s="66" t="s">
        <v>64</v>
      </c>
      <c r="C23" s="72" t="s">
        <v>5</v>
      </c>
      <c r="D23" s="68" t="s">
        <v>65</v>
      </c>
      <c r="E23" s="66" t="s">
        <v>69</v>
      </c>
      <c r="F23" s="71">
        <f t="shared" si="0"/>
        <v>0</v>
      </c>
      <c r="G23" s="31">
        <v>0</v>
      </c>
      <c r="H23" s="31">
        <v>0</v>
      </c>
      <c r="I23" s="53">
        <v>0</v>
      </c>
    </row>
    <row r="24" s="56" customFormat="1" ht="18" customHeight="1" spans="1:9">
      <c r="A24" s="65" t="s">
        <v>5</v>
      </c>
      <c r="B24" s="66" t="s">
        <v>67</v>
      </c>
      <c r="C24" s="72" t="s">
        <v>5</v>
      </c>
      <c r="D24" s="68" t="s">
        <v>68</v>
      </c>
      <c r="E24" s="66" t="s">
        <v>72</v>
      </c>
      <c r="F24" s="71">
        <f t="shared" si="0"/>
        <v>0</v>
      </c>
      <c r="G24" s="31">
        <v>0</v>
      </c>
      <c r="H24" s="31">
        <v>0</v>
      </c>
      <c r="I24" s="53">
        <v>0</v>
      </c>
    </row>
    <row r="25" s="56" customFormat="1" ht="18" customHeight="1" spans="1:9">
      <c r="A25" s="65" t="s">
        <v>5</v>
      </c>
      <c r="B25" s="66" t="s">
        <v>70</v>
      </c>
      <c r="C25" s="72" t="s">
        <v>5</v>
      </c>
      <c r="D25" s="68" t="s">
        <v>71</v>
      </c>
      <c r="E25" s="66" t="s">
        <v>75</v>
      </c>
      <c r="F25" s="71">
        <f t="shared" si="0"/>
        <v>5582.165565</v>
      </c>
      <c r="G25" s="31">
        <f>一般公共预算财政拨款支出决算表!E26</f>
        <v>5582.165565</v>
      </c>
      <c r="H25" s="31">
        <v>0</v>
      </c>
      <c r="I25" s="53">
        <v>0</v>
      </c>
    </row>
    <row r="26" s="56" customFormat="1" ht="18" customHeight="1" spans="1:9">
      <c r="A26" s="65" t="s">
        <v>5</v>
      </c>
      <c r="B26" s="66" t="s">
        <v>73</v>
      </c>
      <c r="C26" s="72" t="s">
        <v>5</v>
      </c>
      <c r="D26" s="68" t="s">
        <v>74</v>
      </c>
      <c r="E26" s="66" t="s">
        <v>78</v>
      </c>
      <c r="F26" s="71">
        <f t="shared" si="0"/>
        <v>234.101232</v>
      </c>
      <c r="G26" s="31">
        <f>一般公共预算财政拨款支出决算表!E32</f>
        <v>234.101232</v>
      </c>
      <c r="H26" s="31">
        <v>0</v>
      </c>
      <c r="I26" s="53">
        <v>0</v>
      </c>
    </row>
    <row r="27" s="56" customFormat="1" ht="18" customHeight="1" spans="1:9">
      <c r="A27" s="65" t="s">
        <v>5</v>
      </c>
      <c r="B27" s="66" t="s">
        <v>76</v>
      </c>
      <c r="C27" s="72" t="s">
        <v>5</v>
      </c>
      <c r="D27" s="68" t="s">
        <v>77</v>
      </c>
      <c r="E27" s="66" t="s">
        <v>81</v>
      </c>
      <c r="F27" s="71">
        <f t="shared" si="0"/>
        <v>0</v>
      </c>
      <c r="G27" s="31">
        <v>0</v>
      </c>
      <c r="H27" s="31">
        <v>0</v>
      </c>
      <c r="I27" s="53">
        <v>0</v>
      </c>
    </row>
    <row r="28" s="56" customFormat="1" ht="18" customHeight="1" spans="1:9">
      <c r="A28" s="65" t="s">
        <v>5</v>
      </c>
      <c r="B28" s="66" t="s">
        <v>79</v>
      </c>
      <c r="C28" s="72" t="s">
        <v>5</v>
      </c>
      <c r="D28" s="68" t="s">
        <v>80</v>
      </c>
      <c r="E28" s="66" t="s">
        <v>84</v>
      </c>
      <c r="F28" s="71">
        <f t="shared" si="0"/>
        <v>205</v>
      </c>
      <c r="G28" s="31">
        <v>0</v>
      </c>
      <c r="H28" s="31">
        <v>0</v>
      </c>
      <c r="I28" s="53">
        <f>国有资本经营预算财政拨款支出决算表!E10</f>
        <v>205</v>
      </c>
    </row>
    <row r="29" s="56" customFormat="1" ht="18" customHeight="1" spans="1:9">
      <c r="A29" s="65" t="s">
        <v>5</v>
      </c>
      <c r="B29" s="66" t="s">
        <v>82</v>
      </c>
      <c r="C29" s="72" t="s">
        <v>5</v>
      </c>
      <c r="D29" s="68" t="s">
        <v>83</v>
      </c>
      <c r="E29" s="66" t="s">
        <v>87</v>
      </c>
      <c r="F29" s="71">
        <f t="shared" si="0"/>
        <v>851.7404</v>
      </c>
      <c r="G29" s="31">
        <f>一般公共预算财政拨款支出决算表!E35</f>
        <v>851.7404</v>
      </c>
      <c r="H29" s="31">
        <v>0</v>
      </c>
      <c r="I29" s="53">
        <v>0</v>
      </c>
    </row>
    <row r="30" s="56" customFormat="1" ht="18" customHeight="1" spans="1:9">
      <c r="A30" s="65" t="s">
        <v>5</v>
      </c>
      <c r="B30" s="66" t="s">
        <v>85</v>
      </c>
      <c r="C30" s="72" t="s">
        <v>5</v>
      </c>
      <c r="D30" s="68" t="s">
        <v>86</v>
      </c>
      <c r="E30" s="66" t="s">
        <v>90</v>
      </c>
      <c r="F30" s="71">
        <f t="shared" si="0"/>
        <v>0</v>
      </c>
      <c r="G30" s="31">
        <v>0</v>
      </c>
      <c r="H30" s="31">
        <v>0</v>
      </c>
      <c r="I30" s="53">
        <v>0</v>
      </c>
    </row>
    <row r="31" s="56" customFormat="1" ht="18" customHeight="1" spans="1:9">
      <c r="A31" s="64" t="s">
        <v>5</v>
      </c>
      <c r="B31" s="66" t="s">
        <v>88</v>
      </c>
      <c r="C31" s="72" t="s">
        <v>5</v>
      </c>
      <c r="D31" s="68" t="s">
        <v>89</v>
      </c>
      <c r="E31" s="66" t="s">
        <v>93</v>
      </c>
      <c r="F31" s="71">
        <f t="shared" si="0"/>
        <v>0</v>
      </c>
      <c r="G31" s="31">
        <v>0</v>
      </c>
      <c r="H31" s="31">
        <v>0</v>
      </c>
      <c r="I31" s="53">
        <v>0</v>
      </c>
    </row>
    <row r="32" s="56" customFormat="1" ht="18" customHeight="1" spans="1:9">
      <c r="A32" s="65" t="s">
        <v>5</v>
      </c>
      <c r="B32" s="66" t="s">
        <v>91</v>
      </c>
      <c r="C32" s="72" t="s">
        <v>5</v>
      </c>
      <c r="D32" s="68" t="s">
        <v>92</v>
      </c>
      <c r="E32" s="66" t="s">
        <v>96</v>
      </c>
      <c r="F32" s="71">
        <f t="shared" si="0"/>
        <v>0</v>
      </c>
      <c r="G32" s="31">
        <v>0</v>
      </c>
      <c r="H32" s="31">
        <v>0</v>
      </c>
      <c r="I32" s="53">
        <v>0</v>
      </c>
    </row>
    <row r="33" s="56" customFormat="1" ht="18" customHeight="1" spans="1:9">
      <c r="A33" s="65" t="s">
        <v>5</v>
      </c>
      <c r="B33" s="66" t="s">
        <v>94</v>
      </c>
      <c r="C33" s="72" t="s">
        <v>5</v>
      </c>
      <c r="D33" s="68" t="s">
        <v>95</v>
      </c>
      <c r="E33" s="66" t="s">
        <v>100</v>
      </c>
      <c r="F33" s="71">
        <f t="shared" si="0"/>
        <v>0</v>
      </c>
      <c r="G33" s="31">
        <v>0</v>
      </c>
      <c r="H33" s="31">
        <v>0</v>
      </c>
      <c r="I33" s="53">
        <v>0</v>
      </c>
    </row>
    <row r="34" s="57" customFormat="1" ht="18" customHeight="1" spans="1:9">
      <c r="A34" s="64" t="s">
        <v>97</v>
      </c>
      <c r="B34" s="63" t="s">
        <v>98</v>
      </c>
      <c r="C34" s="73">
        <f t="shared" ref="C34:I34" si="1">SUM(C8:C33)</f>
        <v>9096.462431</v>
      </c>
      <c r="D34" s="63" t="s">
        <v>99</v>
      </c>
      <c r="E34" s="63" t="s">
        <v>104</v>
      </c>
      <c r="F34" s="74">
        <f t="shared" si="0"/>
        <v>9096.462431</v>
      </c>
      <c r="G34" s="75">
        <f t="shared" si="1"/>
        <v>7456.000394</v>
      </c>
      <c r="H34" s="75">
        <f t="shared" si="1"/>
        <v>1435.462037</v>
      </c>
      <c r="I34" s="87">
        <f t="shared" si="1"/>
        <v>205</v>
      </c>
    </row>
    <row r="35" s="56" customFormat="1" ht="18" customHeight="1" spans="1:9">
      <c r="A35" s="65" t="s">
        <v>228</v>
      </c>
      <c r="B35" s="66" t="s">
        <v>102</v>
      </c>
      <c r="C35" s="76" t="s">
        <v>5</v>
      </c>
      <c r="D35" s="68" t="s">
        <v>229</v>
      </c>
      <c r="E35" s="66" t="s">
        <v>108</v>
      </c>
      <c r="F35" s="77" t="s">
        <v>5</v>
      </c>
      <c r="G35" s="78" t="s">
        <v>5</v>
      </c>
      <c r="H35" s="78" t="s">
        <v>5</v>
      </c>
      <c r="I35" s="88" t="s">
        <v>5</v>
      </c>
    </row>
    <row r="36" s="56" customFormat="1" ht="18" customHeight="1" spans="1:9">
      <c r="A36" s="65" t="s">
        <v>230</v>
      </c>
      <c r="B36" s="66" t="s">
        <v>106</v>
      </c>
      <c r="C36" s="79" t="s">
        <v>5</v>
      </c>
      <c r="D36" s="68" t="s">
        <v>5</v>
      </c>
      <c r="E36" s="66" t="s">
        <v>110</v>
      </c>
      <c r="F36" s="80" t="s">
        <v>5</v>
      </c>
      <c r="G36" s="81" t="s">
        <v>5</v>
      </c>
      <c r="H36" s="81" t="s">
        <v>5</v>
      </c>
      <c r="I36" s="89" t="s">
        <v>5</v>
      </c>
    </row>
    <row r="37" s="56" customFormat="1" ht="18" customHeight="1" spans="1:9">
      <c r="A37" s="65" t="s">
        <v>231</v>
      </c>
      <c r="B37" s="66" t="s">
        <v>109</v>
      </c>
      <c r="C37" s="79" t="s">
        <v>5</v>
      </c>
      <c r="D37" s="68" t="s">
        <v>5</v>
      </c>
      <c r="E37" s="66" t="s">
        <v>113</v>
      </c>
      <c r="F37" s="79" t="s">
        <v>5</v>
      </c>
      <c r="G37" s="79" t="s">
        <v>5</v>
      </c>
      <c r="H37" s="79" t="s">
        <v>5</v>
      </c>
      <c r="I37" s="79" t="s">
        <v>5</v>
      </c>
    </row>
    <row r="38" s="56" customFormat="1" ht="18" customHeight="1" spans="1:9">
      <c r="A38" s="65" t="s">
        <v>232</v>
      </c>
      <c r="B38" s="66" t="s">
        <v>112</v>
      </c>
      <c r="C38" s="79" t="s">
        <v>5</v>
      </c>
      <c r="D38" s="68" t="s">
        <v>5</v>
      </c>
      <c r="E38" s="66" t="s">
        <v>233</v>
      </c>
      <c r="F38" s="79" t="s">
        <v>5</v>
      </c>
      <c r="G38" s="79" t="s">
        <v>5</v>
      </c>
      <c r="H38" s="79" t="s">
        <v>5</v>
      </c>
      <c r="I38" s="79" t="s">
        <v>5</v>
      </c>
    </row>
    <row r="39" s="57" customFormat="1" ht="18" customHeight="1" spans="1:9">
      <c r="A39" s="64" t="s">
        <v>111</v>
      </c>
      <c r="B39" s="82" t="s">
        <v>15</v>
      </c>
      <c r="C39" s="83" t="s">
        <v>5</v>
      </c>
      <c r="D39" s="63" t="s">
        <v>111</v>
      </c>
      <c r="E39" s="63" t="s">
        <v>234</v>
      </c>
      <c r="F39" s="83">
        <f>SUM(F34:F38)</f>
        <v>9096.462431</v>
      </c>
      <c r="G39" s="83">
        <f>SUM(G34:G38)</f>
        <v>7456.000394</v>
      </c>
      <c r="H39" s="83">
        <f>SUM(H34:H38)</f>
        <v>1435.462037</v>
      </c>
      <c r="I39" s="83">
        <f>SUM(I34:I38)</f>
        <v>205</v>
      </c>
    </row>
    <row r="40" s="56" customFormat="1" ht="18" customHeight="1" spans="1:9">
      <c r="A40" s="84" t="s">
        <v>235</v>
      </c>
      <c r="B40" s="84" t="s">
        <v>5</v>
      </c>
      <c r="C40" s="84" t="s">
        <v>5</v>
      </c>
      <c r="D40" s="84" t="s">
        <v>5</v>
      </c>
      <c r="E40" s="84" t="s">
        <v>5</v>
      </c>
      <c r="F40" s="84" t="s">
        <v>5</v>
      </c>
      <c r="G40" s="84" t="s">
        <v>5</v>
      </c>
      <c r="H40" s="84" t="s">
        <v>5</v>
      </c>
      <c r="I40" s="84" t="s">
        <v>5</v>
      </c>
    </row>
    <row r="41" s="56" customFormat="1" ht="18" customHeight="1" spans="1:9">
      <c r="A41" s="84" t="s">
        <v>236</v>
      </c>
      <c r="B41" s="84" t="s">
        <v>5</v>
      </c>
      <c r="C41" s="84" t="s">
        <v>5</v>
      </c>
      <c r="D41" s="84" t="s">
        <v>5</v>
      </c>
      <c r="E41" s="84" t="s">
        <v>5</v>
      </c>
      <c r="F41" s="84" t="s">
        <v>5</v>
      </c>
      <c r="G41" s="84" t="s">
        <v>5</v>
      </c>
      <c r="H41" s="84" t="s">
        <v>5</v>
      </c>
      <c r="I41" s="84" t="s">
        <v>5</v>
      </c>
    </row>
    <row r="43" spans="4:4">
      <c r="D43" s="42" t="s">
        <v>237</v>
      </c>
    </row>
  </sheetData>
  <mergeCells count="46">
    <mergeCell ref="A1:I1"/>
    <mergeCell ref="A4:C4"/>
    <mergeCell ref="A4:C4"/>
    <mergeCell ref="A4:C4"/>
    <mergeCell ref="D4:I4"/>
    <mergeCell ref="D4:I4"/>
    <mergeCell ref="D4:I4"/>
    <mergeCell ref="D4:I4"/>
    <mergeCell ref="D4:I4"/>
    <mergeCell ref="D4:I4"/>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zoomScaleSheetLayoutView="60" workbookViewId="0">
      <pane xSplit="4" ySplit="8" topLeftCell="E9" activePane="bottomRight" state="frozen"/>
      <selection/>
      <selection pane="topRight"/>
      <selection pane="bottomLeft"/>
      <selection pane="bottomRight" activeCell="K18" sqref="K18"/>
    </sheetView>
  </sheetViews>
  <sheetFormatPr defaultColWidth="8.88571428571429" defaultRowHeight="12.75" outlineLevelCol="6"/>
  <cols>
    <col min="1" max="1" width="4" style="5" customWidth="1"/>
    <col min="2" max="2" width="4.42857142857143" style="5" customWidth="1"/>
    <col min="3" max="3" width="4.13333333333333" style="5" customWidth="1"/>
    <col min="4" max="4" width="33.5714285714286" style="5" customWidth="1"/>
    <col min="5" max="7" width="16" style="5" customWidth="1"/>
    <col min="8" max="8" width="9.76190476190476" style="5"/>
    <col min="9" max="16384" width="8.88571428571429" style="5"/>
  </cols>
  <sheetData>
    <row r="1" s="1" customFormat="1" ht="27" customHeight="1" spans="1:7">
      <c r="A1" s="6" t="s">
        <v>238</v>
      </c>
      <c r="B1" s="7"/>
      <c r="C1" s="7"/>
      <c r="D1" s="7"/>
      <c r="E1" s="6" t="s">
        <v>238</v>
      </c>
      <c r="F1" s="7"/>
      <c r="G1" s="7"/>
    </row>
    <row r="2" s="2" customFormat="1" ht="20" customHeight="1" spans="7:7">
      <c r="G2" s="19" t="s">
        <v>239</v>
      </c>
    </row>
    <row r="3" s="2" customFormat="1" ht="20" customHeight="1" spans="1:7">
      <c r="A3" s="2" t="str">
        <f>财政拨款收入支出决算总表!A3</f>
        <v>部门：岳阳县自然资源局</v>
      </c>
      <c r="G3" s="19" t="s">
        <v>3</v>
      </c>
    </row>
    <row r="4" s="3" customFormat="1" ht="20" customHeight="1" spans="1:7">
      <c r="A4" s="22" t="s">
        <v>7</v>
      </c>
      <c r="B4" s="23" t="s">
        <v>5</v>
      </c>
      <c r="C4" s="23" t="s">
        <v>5</v>
      </c>
      <c r="D4" s="23" t="s">
        <v>119</v>
      </c>
      <c r="E4" s="23" t="s">
        <v>240</v>
      </c>
      <c r="F4" s="23" t="s">
        <v>5</v>
      </c>
      <c r="G4" s="23" t="s">
        <v>5</v>
      </c>
    </row>
    <row r="5" s="3" customFormat="1" ht="20" customHeight="1" spans="1:7">
      <c r="A5" s="10" t="s">
        <v>126</v>
      </c>
      <c r="B5" s="11" t="s">
        <v>5</v>
      </c>
      <c r="C5" s="11" t="s">
        <v>5</v>
      </c>
      <c r="D5" s="11" t="s">
        <v>119</v>
      </c>
      <c r="E5" s="11" t="s">
        <v>127</v>
      </c>
      <c r="F5" s="11" t="s">
        <v>211</v>
      </c>
      <c r="G5" s="11" t="s">
        <v>212</v>
      </c>
    </row>
    <row r="6" s="3" customFormat="1" ht="20" customHeight="1" spans="1:7">
      <c r="A6" s="10" t="s">
        <v>5</v>
      </c>
      <c r="B6" s="11" t="s">
        <v>5</v>
      </c>
      <c r="C6" s="11" t="s">
        <v>5</v>
      </c>
      <c r="D6" s="11" t="s">
        <v>5</v>
      </c>
      <c r="E6" s="11" t="s">
        <v>5</v>
      </c>
      <c r="F6" s="11" t="s">
        <v>127</v>
      </c>
      <c r="G6" s="11" t="s">
        <v>127</v>
      </c>
    </row>
    <row r="7" s="3" customFormat="1" ht="20" customHeight="1" spans="1:7">
      <c r="A7" s="10" t="s">
        <v>5</v>
      </c>
      <c r="B7" s="11" t="s">
        <v>5</v>
      </c>
      <c r="C7" s="11" t="s">
        <v>5</v>
      </c>
      <c r="D7" s="11" t="s">
        <v>5</v>
      </c>
      <c r="E7" s="11" t="s">
        <v>5</v>
      </c>
      <c r="F7" s="11" t="s">
        <v>5</v>
      </c>
      <c r="G7" s="11" t="s">
        <v>5</v>
      </c>
    </row>
    <row r="8" s="3" customFormat="1" ht="20" customHeight="1" spans="1:7">
      <c r="A8" s="10" t="s">
        <v>10</v>
      </c>
      <c r="B8" s="11" t="s">
        <v>128</v>
      </c>
      <c r="C8" s="11" t="s">
        <v>129</v>
      </c>
      <c r="D8" s="11" t="s">
        <v>10</v>
      </c>
      <c r="E8" s="12" t="s">
        <v>11</v>
      </c>
      <c r="F8" s="12" t="s">
        <v>12</v>
      </c>
      <c r="G8" s="12" t="s">
        <v>20</v>
      </c>
    </row>
    <row r="9" s="3" customFormat="1" ht="20" customHeight="1" spans="1:7">
      <c r="A9" s="10" t="s">
        <v>130</v>
      </c>
      <c r="B9" s="11" t="s">
        <v>5</v>
      </c>
      <c r="C9" s="11" t="s">
        <v>5</v>
      </c>
      <c r="D9" s="11" t="s">
        <v>130</v>
      </c>
      <c r="E9" s="26">
        <f>F9+G9</f>
        <v>7456.000394</v>
      </c>
      <c r="F9" s="26">
        <f>F10+F13+F20+F23+F26+F32+F35</f>
        <v>5462.193148</v>
      </c>
      <c r="G9" s="26">
        <f>G10+G13+G20+G23+G26+G32+G35</f>
        <v>1993.807246</v>
      </c>
    </row>
    <row r="10" s="3" customFormat="1" ht="20" customHeight="1" spans="1:7">
      <c r="A10" s="51" t="s">
        <v>131</v>
      </c>
      <c r="B10" s="51"/>
      <c r="C10" s="51"/>
      <c r="D10" s="51" t="s">
        <v>132</v>
      </c>
      <c r="E10" s="26">
        <f>F10+G10</f>
        <v>76.83</v>
      </c>
      <c r="F10" s="52">
        <f>F11</f>
        <v>76.83</v>
      </c>
      <c r="G10" s="52">
        <f>G11</f>
        <v>0</v>
      </c>
    </row>
    <row r="11" s="2" customFormat="1" ht="20" customHeight="1" spans="1:7">
      <c r="A11" s="29" t="s">
        <v>133</v>
      </c>
      <c r="B11" s="29"/>
      <c r="C11" s="29"/>
      <c r="D11" s="29" t="s">
        <v>134</v>
      </c>
      <c r="E11" s="30">
        <f t="shared" ref="E11:E37" si="0">F11+G11</f>
        <v>76.83</v>
      </c>
      <c r="F11" s="53">
        <f>F12</f>
        <v>76.83</v>
      </c>
      <c r="G11" s="53">
        <f>G12</f>
        <v>0</v>
      </c>
    </row>
    <row r="12" s="2" customFormat="1" ht="20" customHeight="1" spans="1:7">
      <c r="A12" s="29" t="s">
        <v>135</v>
      </c>
      <c r="B12" s="29"/>
      <c r="C12" s="29"/>
      <c r="D12" s="29" t="s">
        <v>136</v>
      </c>
      <c r="E12" s="30">
        <f t="shared" si="0"/>
        <v>76.83</v>
      </c>
      <c r="F12" s="31">
        <f>768300/10000</f>
        <v>76.83</v>
      </c>
      <c r="G12" s="53">
        <v>0</v>
      </c>
    </row>
    <row r="13" s="3" customFormat="1" ht="20" customHeight="1" spans="1:7">
      <c r="A13" s="27" t="s">
        <v>137</v>
      </c>
      <c r="B13" s="27"/>
      <c r="C13" s="27"/>
      <c r="D13" s="27" t="s">
        <v>138</v>
      </c>
      <c r="E13" s="26">
        <f t="shared" si="0"/>
        <v>335.113212</v>
      </c>
      <c r="F13" s="54">
        <f>F14+F16+F18</f>
        <v>335.113212</v>
      </c>
      <c r="G13" s="54">
        <f>G14+G16+G18</f>
        <v>0</v>
      </c>
    </row>
    <row r="14" s="2" customFormat="1" ht="20" customHeight="1" spans="1:7">
      <c r="A14" s="29" t="s">
        <v>139</v>
      </c>
      <c r="B14" s="29"/>
      <c r="C14" s="29"/>
      <c r="D14" s="29" t="s">
        <v>140</v>
      </c>
      <c r="E14" s="30">
        <f t="shared" si="0"/>
        <v>312.134976</v>
      </c>
      <c r="F14" s="31">
        <f>F15</f>
        <v>312.134976</v>
      </c>
      <c r="G14" s="53">
        <f>G15</f>
        <v>0</v>
      </c>
    </row>
    <row r="15" s="2" customFormat="1" ht="20" customHeight="1" spans="1:7">
      <c r="A15" s="29" t="s">
        <v>141</v>
      </c>
      <c r="B15" s="29"/>
      <c r="C15" s="29"/>
      <c r="D15" s="29" t="s">
        <v>142</v>
      </c>
      <c r="E15" s="30">
        <f t="shared" si="0"/>
        <v>312.134976</v>
      </c>
      <c r="F15" s="31">
        <f>3121349.76/10000</f>
        <v>312.134976</v>
      </c>
      <c r="G15" s="53">
        <v>0</v>
      </c>
    </row>
    <row r="16" s="2" customFormat="1" ht="20" customHeight="1" spans="1:7">
      <c r="A16" s="29" t="s">
        <v>143</v>
      </c>
      <c r="B16" s="29"/>
      <c r="C16" s="29"/>
      <c r="D16" s="29" t="s">
        <v>144</v>
      </c>
      <c r="E16" s="30">
        <f t="shared" si="0"/>
        <v>3.4698</v>
      </c>
      <c r="F16" s="31">
        <f>F17</f>
        <v>3.4698</v>
      </c>
      <c r="G16" s="53">
        <f>G17</f>
        <v>0</v>
      </c>
    </row>
    <row r="17" s="2" customFormat="1" ht="20" customHeight="1" spans="1:7">
      <c r="A17" s="29" t="s">
        <v>145</v>
      </c>
      <c r="B17" s="29"/>
      <c r="C17" s="29"/>
      <c r="D17" s="29" t="s">
        <v>146</v>
      </c>
      <c r="E17" s="30">
        <f t="shared" si="0"/>
        <v>3.4698</v>
      </c>
      <c r="F17" s="31">
        <f>34698/10000</f>
        <v>3.4698</v>
      </c>
      <c r="G17" s="53">
        <v>0</v>
      </c>
    </row>
    <row r="18" s="2" customFormat="1" ht="20" customHeight="1" spans="1:7">
      <c r="A18" s="29" t="s">
        <v>147</v>
      </c>
      <c r="B18" s="29"/>
      <c r="C18" s="29"/>
      <c r="D18" s="29" t="s">
        <v>148</v>
      </c>
      <c r="E18" s="30">
        <f t="shared" si="0"/>
        <v>19.508436</v>
      </c>
      <c r="F18" s="31">
        <f>F19</f>
        <v>19.508436</v>
      </c>
      <c r="G18" s="53">
        <f>G19</f>
        <v>0</v>
      </c>
    </row>
    <row r="19" s="2" customFormat="1" ht="20" customHeight="1" spans="1:7">
      <c r="A19" s="29" t="s">
        <v>149</v>
      </c>
      <c r="B19" s="29"/>
      <c r="C19" s="29"/>
      <c r="D19" s="29" t="s">
        <v>148</v>
      </c>
      <c r="E19" s="30">
        <f t="shared" si="0"/>
        <v>19.508436</v>
      </c>
      <c r="F19" s="31">
        <f>195084.36/10000</f>
        <v>19.508436</v>
      </c>
      <c r="G19" s="53">
        <v>0</v>
      </c>
    </row>
    <row r="20" s="3" customFormat="1" ht="20" customHeight="1" spans="1:7">
      <c r="A20" s="27" t="s">
        <v>150</v>
      </c>
      <c r="B20" s="27"/>
      <c r="C20" s="27"/>
      <c r="D20" s="27" t="s">
        <v>151</v>
      </c>
      <c r="E20" s="26">
        <f t="shared" si="0"/>
        <v>185.330142</v>
      </c>
      <c r="F20" s="54">
        <f>F21</f>
        <v>185.330142</v>
      </c>
      <c r="G20" s="54">
        <f>G21</f>
        <v>0</v>
      </c>
    </row>
    <row r="21" s="2" customFormat="1" ht="20" customHeight="1" spans="1:7">
      <c r="A21" s="29" t="s">
        <v>152</v>
      </c>
      <c r="B21" s="29"/>
      <c r="C21" s="29"/>
      <c r="D21" s="29" t="s">
        <v>153</v>
      </c>
      <c r="E21" s="30">
        <f t="shared" si="0"/>
        <v>185.330142</v>
      </c>
      <c r="F21" s="53">
        <f>F22</f>
        <v>185.330142</v>
      </c>
      <c r="G21" s="53">
        <f>G22</f>
        <v>0</v>
      </c>
    </row>
    <row r="22" s="2" customFormat="1" ht="20" customHeight="1" spans="1:7">
      <c r="A22" s="29" t="s">
        <v>154</v>
      </c>
      <c r="B22" s="29"/>
      <c r="C22" s="29"/>
      <c r="D22" s="29" t="s">
        <v>155</v>
      </c>
      <c r="E22" s="30">
        <f t="shared" si="0"/>
        <v>185.330142</v>
      </c>
      <c r="F22" s="31">
        <f>1853301.42/10000</f>
        <v>185.330142</v>
      </c>
      <c r="G22" s="53">
        <v>0</v>
      </c>
    </row>
    <row r="23" s="3" customFormat="1" ht="20" customHeight="1" spans="1:7">
      <c r="A23" s="27" t="s">
        <v>168</v>
      </c>
      <c r="B23" s="27"/>
      <c r="C23" s="27"/>
      <c r="D23" s="27" t="s">
        <v>169</v>
      </c>
      <c r="E23" s="26">
        <f t="shared" si="0"/>
        <v>190.719843</v>
      </c>
      <c r="F23" s="54">
        <f>F24</f>
        <v>0</v>
      </c>
      <c r="G23" s="54">
        <f>G24</f>
        <v>190.719843</v>
      </c>
    </row>
    <row r="24" s="2" customFormat="1" ht="20" customHeight="1" spans="1:7">
      <c r="A24" s="29" t="s">
        <v>170</v>
      </c>
      <c r="B24" s="29"/>
      <c r="C24" s="29"/>
      <c r="D24" s="29" t="s">
        <v>171</v>
      </c>
      <c r="E24" s="30">
        <f t="shared" si="0"/>
        <v>190.719843</v>
      </c>
      <c r="F24" s="53">
        <f>F25</f>
        <v>0</v>
      </c>
      <c r="G24" s="53">
        <f>G25</f>
        <v>190.719843</v>
      </c>
    </row>
    <row r="25" s="2" customFormat="1" ht="20" customHeight="1" spans="1:7">
      <c r="A25" s="29" t="s">
        <v>172</v>
      </c>
      <c r="B25" s="29"/>
      <c r="C25" s="29"/>
      <c r="D25" s="29" t="s">
        <v>173</v>
      </c>
      <c r="E25" s="30">
        <f t="shared" si="0"/>
        <v>190.719843</v>
      </c>
      <c r="F25" s="31">
        <v>0</v>
      </c>
      <c r="G25" s="53">
        <f>1907198.43/10000</f>
        <v>190.719843</v>
      </c>
    </row>
    <row r="26" s="3" customFormat="1" ht="20" customHeight="1" spans="1:7">
      <c r="A26" s="27" t="s">
        <v>174</v>
      </c>
      <c r="B26" s="27"/>
      <c r="C26" s="27"/>
      <c r="D26" s="27" t="s">
        <v>175</v>
      </c>
      <c r="E26" s="26">
        <f t="shared" si="0"/>
        <v>5582.165565</v>
      </c>
      <c r="F26" s="54">
        <f>F27</f>
        <v>4618.833062</v>
      </c>
      <c r="G26" s="54">
        <f>G27</f>
        <v>963.332503</v>
      </c>
    </row>
    <row r="27" s="2" customFormat="1" ht="20" customHeight="1" spans="1:7">
      <c r="A27" s="29" t="s">
        <v>176</v>
      </c>
      <c r="B27" s="29"/>
      <c r="C27" s="29"/>
      <c r="D27" s="29" t="s">
        <v>177</v>
      </c>
      <c r="E27" s="30">
        <f t="shared" si="0"/>
        <v>5582.165565</v>
      </c>
      <c r="F27" s="53">
        <f>SUM(F28:F31)</f>
        <v>4618.833062</v>
      </c>
      <c r="G27" s="53">
        <f>SUM(G28:G31)</f>
        <v>963.332503</v>
      </c>
    </row>
    <row r="28" s="2" customFormat="1" ht="20" customHeight="1" spans="1:7">
      <c r="A28" s="29" t="s">
        <v>178</v>
      </c>
      <c r="B28" s="29"/>
      <c r="C28" s="29"/>
      <c r="D28" s="29" t="s">
        <v>179</v>
      </c>
      <c r="E28" s="30">
        <f t="shared" si="0"/>
        <v>3490.196865</v>
      </c>
      <c r="F28" s="31">
        <f>34257728.65/10000</f>
        <v>3425.772865</v>
      </c>
      <c r="G28" s="53">
        <f>644240/10000</f>
        <v>64.424</v>
      </c>
    </row>
    <row r="29" s="2" customFormat="1" ht="20" customHeight="1" spans="1:7">
      <c r="A29" s="29" t="s">
        <v>180</v>
      </c>
      <c r="B29" s="29"/>
      <c r="C29" s="29"/>
      <c r="D29" s="29" t="s">
        <v>181</v>
      </c>
      <c r="E29" s="30">
        <f t="shared" si="0"/>
        <v>281</v>
      </c>
      <c r="F29" s="31">
        <f>2500000/10000</f>
        <v>250</v>
      </c>
      <c r="G29" s="53">
        <f>310000/10000</f>
        <v>31</v>
      </c>
    </row>
    <row r="30" s="2" customFormat="1" ht="20" customHeight="1" spans="1:7">
      <c r="A30" s="29" t="s">
        <v>182</v>
      </c>
      <c r="B30" s="29"/>
      <c r="C30" s="29"/>
      <c r="D30" s="29" t="s">
        <v>183</v>
      </c>
      <c r="E30" s="30">
        <f t="shared" si="0"/>
        <v>383.6334</v>
      </c>
      <c r="F30" s="31">
        <v>0</v>
      </c>
      <c r="G30" s="53">
        <f>3836334/10000</f>
        <v>383.6334</v>
      </c>
    </row>
    <row r="31" s="2" customFormat="1" ht="20" customHeight="1" spans="1:7">
      <c r="A31" s="29" t="s">
        <v>184</v>
      </c>
      <c r="B31" s="29"/>
      <c r="C31" s="29"/>
      <c r="D31" s="29" t="s">
        <v>185</v>
      </c>
      <c r="E31" s="30">
        <f t="shared" si="0"/>
        <v>1427.3353</v>
      </c>
      <c r="F31" s="31">
        <f>9430601.97/10000</f>
        <v>943.060197</v>
      </c>
      <c r="G31" s="53">
        <f>4842751.03/10000</f>
        <v>484.275103</v>
      </c>
    </row>
    <row r="32" s="3" customFormat="1" ht="20" customHeight="1" spans="1:7">
      <c r="A32" s="27" t="s">
        <v>186</v>
      </c>
      <c r="B32" s="27"/>
      <c r="C32" s="27"/>
      <c r="D32" s="27" t="s">
        <v>187</v>
      </c>
      <c r="E32" s="26">
        <f t="shared" si="0"/>
        <v>234.101232</v>
      </c>
      <c r="F32" s="54">
        <f>F33</f>
        <v>234.101232</v>
      </c>
      <c r="G32" s="54">
        <f>G33</f>
        <v>0</v>
      </c>
    </row>
    <row r="33" s="2" customFormat="1" ht="20" customHeight="1" spans="1:7">
      <c r="A33" s="29" t="s">
        <v>188</v>
      </c>
      <c r="B33" s="29"/>
      <c r="C33" s="29"/>
      <c r="D33" s="29" t="s">
        <v>189</v>
      </c>
      <c r="E33" s="30">
        <f t="shared" si="0"/>
        <v>234.101232</v>
      </c>
      <c r="F33" s="53">
        <f>F34</f>
        <v>234.101232</v>
      </c>
      <c r="G33" s="53">
        <f>G34</f>
        <v>0</v>
      </c>
    </row>
    <row r="34" s="2" customFormat="1" ht="20" customHeight="1" spans="1:7">
      <c r="A34" s="29" t="s">
        <v>190</v>
      </c>
      <c r="B34" s="29"/>
      <c r="C34" s="29"/>
      <c r="D34" s="29" t="s">
        <v>191</v>
      </c>
      <c r="E34" s="30">
        <f t="shared" si="0"/>
        <v>234.101232</v>
      </c>
      <c r="F34" s="31">
        <f>2341012.32/10000</f>
        <v>234.101232</v>
      </c>
      <c r="G34" s="53">
        <v>0</v>
      </c>
    </row>
    <row r="35" s="3" customFormat="1" ht="20" customHeight="1" spans="1:7">
      <c r="A35" s="27" t="s">
        <v>197</v>
      </c>
      <c r="B35" s="27"/>
      <c r="C35" s="27"/>
      <c r="D35" s="27" t="s">
        <v>198</v>
      </c>
      <c r="E35" s="26">
        <f t="shared" si="0"/>
        <v>851.7404</v>
      </c>
      <c r="F35" s="54">
        <f>F36</f>
        <v>11.9855</v>
      </c>
      <c r="G35" s="54">
        <f>G36</f>
        <v>839.7549</v>
      </c>
    </row>
    <row r="36" s="2" customFormat="1" ht="20" customHeight="1" spans="1:7">
      <c r="A36" s="29" t="s">
        <v>199</v>
      </c>
      <c r="B36" s="29"/>
      <c r="C36" s="29"/>
      <c r="D36" s="29" t="s">
        <v>200</v>
      </c>
      <c r="E36" s="30">
        <f t="shared" si="0"/>
        <v>851.7404</v>
      </c>
      <c r="F36" s="53">
        <f>F37</f>
        <v>11.9855</v>
      </c>
      <c r="G36" s="53">
        <f>G37</f>
        <v>839.7549</v>
      </c>
    </row>
    <row r="37" s="2" customFormat="1" ht="20" customHeight="1" spans="1:7">
      <c r="A37" s="45" t="s">
        <v>201</v>
      </c>
      <c r="B37" s="45"/>
      <c r="C37" s="45"/>
      <c r="D37" s="45" t="s">
        <v>202</v>
      </c>
      <c r="E37" s="30">
        <f t="shared" si="0"/>
        <v>851.7404</v>
      </c>
      <c r="F37" s="46">
        <f>119855/10000</f>
        <v>11.9855</v>
      </c>
      <c r="G37" s="55">
        <f>8397549/10000</f>
        <v>839.7549</v>
      </c>
    </row>
    <row r="38" s="2" customFormat="1" ht="20" customHeight="1" spans="1:7">
      <c r="A38" s="39" t="s">
        <v>241</v>
      </c>
      <c r="B38" s="39" t="s">
        <v>5</v>
      </c>
      <c r="C38" s="39" t="s">
        <v>5</v>
      </c>
      <c r="D38" s="39" t="s">
        <v>5</v>
      </c>
      <c r="E38" s="39" t="s">
        <v>5</v>
      </c>
      <c r="F38" s="39" t="s">
        <v>5</v>
      </c>
      <c r="G38" s="39" t="s">
        <v>5</v>
      </c>
    </row>
    <row r="40" spans="5:5">
      <c r="E40" s="42" t="s">
        <v>242</v>
      </c>
    </row>
  </sheetData>
  <mergeCells count="72">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G38"/>
    <mergeCell ref="A38:G38"/>
    <mergeCell ref="A38:G38"/>
    <mergeCell ref="A38:G38"/>
    <mergeCell ref="A38:G38"/>
    <mergeCell ref="A38:G38"/>
    <mergeCell ref="A38:G38"/>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abSelected="1" zoomScaleSheetLayoutView="60" workbookViewId="0">
      <pane xSplit="2" ySplit="6" topLeftCell="C17" activePane="bottomRight" state="frozen"/>
      <selection/>
      <selection pane="topRight"/>
      <selection pane="bottomLeft"/>
      <selection pane="bottomRight" activeCell="A2" sqref="A2"/>
    </sheetView>
  </sheetViews>
  <sheetFormatPr defaultColWidth="8.88571428571429" defaultRowHeight="12.75"/>
  <cols>
    <col min="1" max="1" width="9.28571428571429" style="5" customWidth="1"/>
    <col min="2" max="2" width="33.847619047619" style="5" customWidth="1"/>
    <col min="3" max="3" width="17.1333333333333" style="5" customWidth="1"/>
    <col min="4" max="4" width="9.84761904761905" style="5" customWidth="1"/>
    <col min="5" max="5" width="26.4285714285714" style="5" customWidth="1"/>
    <col min="6" max="6" width="17.1333333333333" style="5" customWidth="1"/>
    <col min="7" max="7" width="10.4285714285714" style="5" customWidth="1"/>
    <col min="8" max="8" width="42" style="5" customWidth="1"/>
    <col min="9" max="9" width="17.1333333333333" style="5" customWidth="1"/>
    <col min="10" max="10" width="9.76190476190476" style="5"/>
    <col min="11" max="16384" width="8.88571428571429" style="5"/>
  </cols>
  <sheetData>
    <row r="1" s="1" customFormat="1" ht="23" customHeight="1" spans="1:9">
      <c r="A1" s="6" t="s">
        <v>243</v>
      </c>
      <c r="B1" s="7"/>
      <c r="C1" s="7"/>
      <c r="D1" s="7"/>
      <c r="E1" s="6" t="s">
        <v>243</v>
      </c>
      <c r="F1" s="7"/>
      <c r="G1" s="7"/>
      <c r="H1" s="7"/>
      <c r="I1" s="7"/>
    </row>
    <row r="2" s="2" customFormat="1" ht="20" customHeight="1" spans="9:9">
      <c r="I2" s="19" t="s">
        <v>244</v>
      </c>
    </row>
    <row r="3" s="2" customFormat="1" ht="20" customHeight="1" spans="1:9">
      <c r="A3" s="2" t="str">
        <f>一般公共预算财政拨款支出决算表!A3</f>
        <v>部门：岳阳县自然资源局</v>
      </c>
      <c r="I3" s="19" t="s">
        <v>3</v>
      </c>
    </row>
    <row r="4" s="3" customFormat="1" ht="20" customHeight="1" spans="1:9">
      <c r="A4" s="8" t="s">
        <v>245</v>
      </c>
      <c r="B4" s="9" t="s">
        <v>5</v>
      </c>
      <c r="C4" s="9" t="s">
        <v>5</v>
      </c>
      <c r="D4" s="9" t="s">
        <v>246</v>
      </c>
      <c r="E4" s="9" t="s">
        <v>5</v>
      </c>
      <c r="F4" s="9" t="s">
        <v>5</v>
      </c>
      <c r="G4" s="9" t="s">
        <v>5</v>
      </c>
      <c r="H4" s="9" t="s">
        <v>5</v>
      </c>
      <c r="I4" s="9" t="s">
        <v>5</v>
      </c>
    </row>
    <row r="5" s="3" customFormat="1" ht="20" customHeight="1" spans="1:9">
      <c r="A5" s="10" t="s">
        <v>247</v>
      </c>
      <c r="B5" s="11" t="s">
        <v>119</v>
      </c>
      <c r="C5" s="11" t="s">
        <v>248</v>
      </c>
      <c r="D5" s="11" t="s">
        <v>247</v>
      </c>
      <c r="E5" s="11" t="s">
        <v>119</v>
      </c>
      <c r="F5" s="11" t="s">
        <v>248</v>
      </c>
      <c r="G5" s="11" t="s">
        <v>247</v>
      </c>
      <c r="H5" s="11" t="s">
        <v>119</v>
      </c>
      <c r="I5" s="11" t="s">
        <v>248</v>
      </c>
    </row>
    <row r="6" s="3" customFormat="1" ht="20" customHeight="1" spans="1:9">
      <c r="A6" s="10" t="s">
        <v>5</v>
      </c>
      <c r="B6" s="11" t="s">
        <v>5</v>
      </c>
      <c r="C6" s="11" t="s">
        <v>5</v>
      </c>
      <c r="D6" s="11" t="s">
        <v>5</v>
      </c>
      <c r="E6" s="11" t="s">
        <v>5</v>
      </c>
      <c r="F6" s="11" t="s">
        <v>5</v>
      </c>
      <c r="G6" s="11" t="s">
        <v>5</v>
      </c>
      <c r="H6" s="11" t="s">
        <v>5</v>
      </c>
      <c r="I6" s="11" t="s">
        <v>5</v>
      </c>
    </row>
    <row r="7" s="2" customFormat="1" ht="20" customHeight="1" spans="1:9">
      <c r="A7" s="47" t="s">
        <v>249</v>
      </c>
      <c r="B7" s="48" t="s">
        <v>250</v>
      </c>
      <c r="C7" s="49">
        <f>SUM(C8:C20)</f>
        <v>3916.906956</v>
      </c>
      <c r="D7" s="48" t="s">
        <v>251</v>
      </c>
      <c r="E7" s="48" t="s">
        <v>252</v>
      </c>
      <c r="F7" s="49">
        <f>SUM(F8:F34)</f>
        <v>1426.448292</v>
      </c>
      <c r="G7" s="37" t="s">
        <v>253</v>
      </c>
      <c r="H7" s="48" t="s">
        <v>254</v>
      </c>
      <c r="I7" s="49" t="s">
        <v>5</v>
      </c>
    </row>
    <row r="8" s="2" customFormat="1" ht="20" customHeight="1" spans="1:9">
      <c r="A8" s="36" t="s">
        <v>255</v>
      </c>
      <c r="B8" s="37" t="s">
        <v>256</v>
      </c>
      <c r="C8" s="38">
        <f>14385977.9/10000</f>
        <v>1438.59779</v>
      </c>
      <c r="D8" s="37" t="s">
        <v>257</v>
      </c>
      <c r="E8" s="37" t="s">
        <v>258</v>
      </c>
      <c r="F8" s="38">
        <f>1732921.34/10000</f>
        <v>173.292134</v>
      </c>
      <c r="G8" s="37" t="s">
        <v>259</v>
      </c>
      <c r="H8" s="37" t="s">
        <v>260</v>
      </c>
      <c r="I8" s="38" t="s">
        <v>5</v>
      </c>
    </row>
    <row r="9" s="2" customFormat="1" ht="20" customHeight="1" spans="1:9">
      <c r="A9" s="36" t="s">
        <v>261</v>
      </c>
      <c r="B9" s="37" t="s">
        <v>262</v>
      </c>
      <c r="C9" s="38">
        <f>9572218.64/10000</f>
        <v>957.221864</v>
      </c>
      <c r="D9" s="37" t="s">
        <v>263</v>
      </c>
      <c r="E9" s="37" t="s">
        <v>264</v>
      </c>
      <c r="F9" s="38">
        <f>794157.89/10000</f>
        <v>79.415789</v>
      </c>
      <c r="G9" s="37" t="s">
        <v>265</v>
      </c>
      <c r="H9" s="37" t="s">
        <v>266</v>
      </c>
      <c r="I9" s="38" t="s">
        <v>5</v>
      </c>
    </row>
    <row r="10" s="2" customFormat="1" ht="20" customHeight="1" spans="1:9">
      <c r="A10" s="36" t="s">
        <v>267</v>
      </c>
      <c r="B10" s="37" t="s">
        <v>268</v>
      </c>
      <c r="C10" s="38">
        <f>1788195.48/10000</f>
        <v>178.819548</v>
      </c>
      <c r="D10" s="37" t="s">
        <v>269</v>
      </c>
      <c r="E10" s="37" t="s">
        <v>270</v>
      </c>
      <c r="F10" s="38">
        <v>0</v>
      </c>
      <c r="G10" s="37" t="s">
        <v>271</v>
      </c>
      <c r="H10" s="48" t="s">
        <v>272</v>
      </c>
      <c r="I10" s="49">
        <f>SUM(I11:I26)</f>
        <v>46.0511</v>
      </c>
    </row>
    <row r="11" s="2" customFormat="1" ht="20" customHeight="1" spans="1:9">
      <c r="A11" s="36" t="s">
        <v>273</v>
      </c>
      <c r="B11" s="37" t="s">
        <v>274</v>
      </c>
      <c r="C11" s="38">
        <v>0</v>
      </c>
      <c r="D11" s="37" t="s">
        <v>275</v>
      </c>
      <c r="E11" s="37" t="s">
        <v>276</v>
      </c>
      <c r="F11" s="38">
        <v>0</v>
      </c>
      <c r="G11" s="37" t="s">
        <v>277</v>
      </c>
      <c r="H11" s="37" t="s">
        <v>278</v>
      </c>
      <c r="I11" s="38" t="s">
        <v>5</v>
      </c>
    </row>
    <row r="12" s="2" customFormat="1" ht="20" customHeight="1" spans="1:9">
      <c r="A12" s="36" t="s">
        <v>279</v>
      </c>
      <c r="B12" s="37" t="s">
        <v>280</v>
      </c>
      <c r="C12" s="38">
        <f>3059498.5/10000</f>
        <v>305.94985</v>
      </c>
      <c r="D12" s="37" t="s">
        <v>281</v>
      </c>
      <c r="E12" s="37" t="s">
        <v>282</v>
      </c>
      <c r="F12" s="38">
        <f>38861/10000</f>
        <v>3.8861</v>
      </c>
      <c r="G12" s="37" t="s">
        <v>283</v>
      </c>
      <c r="H12" s="37" t="s">
        <v>284</v>
      </c>
      <c r="I12" s="38">
        <f>457661/10000</f>
        <v>45.7661</v>
      </c>
    </row>
    <row r="13" s="2" customFormat="1" ht="20" customHeight="1" spans="1:9">
      <c r="A13" s="36" t="s">
        <v>285</v>
      </c>
      <c r="B13" s="37" t="s">
        <v>286</v>
      </c>
      <c r="C13" s="38">
        <f>3547129.53/10000</f>
        <v>354.712953</v>
      </c>
      <c r="D13" s="37" t="s">
        <v>287</v>
      </c>
      <c r="E13" s="37" t="s">
        <v>288</v>
      </c>
      <c r="F13" s="38">
        <f>281248.26/10000</f>
        <v>28.124826</v>
      </c>
      <c r="G13" s="37" t="s">
        <v>289</v>
      </c>
      <c r="H13" s="37" t="s">
        <v>290</v>
      </c>
      <c r="I13" s="38">
        <f>2850/10000</f>
        <v>0.285</v>
      </c>
    </row>
    <row r="14" s="2" customFormat="1" ht="20" customHeight="1" spans="1:9">
      <c r="A14" s="36" t="s">
        <v>291</v>
      </c>
      <c r="B14" s="37" t="s">
        <v>292</v>
      </c>
      <c r="C14" s="38">
        <f>218108.1/10000</f>
        <v>21.81081</v>
      </c>
      <c r="D14" s="37" t="s">
        <v>293</v>
      </c>
      <c r="E14" s="37" t="s">
        <v>294</v>
      </c>
      <c r="F14" s="38">
        <f>103574.6/10000</f>
        <v>10.35746</v>
      </c>
      <c r="G14" s="37" t="s">
        <v>295</v>
      </c>
      <c r="H14" s="37" t="s">
        <v>296</v>
      </c>
      <c r="I14" s="38" t="s">
        <v>5</v>
      </c>
    </row>
    <row r="15" s="2" customFormat="1" ht="20" customHeight="1" spans="1:9">
      <c r="A15" s="36" t="s">
        <v>297</v>
      </c>
      <c r="B15" s="37" t="s">
        <v>298</v>
      </c>
      <c r="C15" s="38">
        <f>1835198.7/10000</f>
        <v>183.51987</v>
      </c>
      <c r="D15" s="37" t="s">
        <v>299</v>
      </c>
      <c r="E15" s="37" t="s">
        <v>300</v>
      </c>
      <c r="F15" s="38">
        <v>0</v>
      </c>
      <c r="G15" s="37" t="s">
        <v>301</v>
      </c>
      <c r="H15" s="37" t="s">
        <v>302</v>
      </c>
      <c r="I15" s="38" t="s">
        <v>5</v>
      </c>
    </row>
    <row r="16" s="2" customFormat="1" ht="20" customHeight="1" spans="1:9">
      <c r="A16" s="36" t="s">
        <v>303</v>
      </c>
      <c r="B16" s="37" t="s">
        <v>304</v>
      </c>
      <c r="C16" s="38">
        <f>225014.58/10000</f>
        <v>22.501458</v>
      </c>
      <c r="D16" s="37" t="s">
        <v>305</v>
      </c>
      <c r="E16" s="37" t="s">
        <v>306</v>
      </c>
      <c r="F16" s="38">
        <f>207350/10000</f>
        <v>20.735</v>
      </c>
      <c r="G16" s="37" t="s">
        <v>307</v>
      </c>
      <c r="H16" s="37" t="s">
        <v>308</v>
      </c>
      <c r="I16" s="38" t="s">
        <v>5</v>
      </c>
    </row>
    <row r="17" s="2" customFormat="1" ht="20" customHeight="1" spans="1:9">
      <c r="A17" s="36" t="s">
        <v>309</v>
      </c>
      <c r="B17" s="37" t="s">
        <v>310</v>
      </c>
      <c r="C17" s="38">
        <f>88248.52/10000</f>
        <v>8.824852</v>
      </c>
      <c r="D17" s="37" t="s">
        <v>311</v>
      </c>
      <c r="E17" s="37" t="s">
        <v>312</v>
      </c>
      <c r="F17" s="38">
        <f>492838.16/10000</f>
        <v>49.283816</v>
      </c>
      <c r="G17" s="37" t="s">
        <v>313</v>
      </c>
      <c r="H17" s="37" t="s">
        <v>314</v>
      </c>
      <c r="I17" s="38" t="s">
        <v>5</v>
      </c>
    </row>
    <row r="18" s="2" customFormat="1" ht="20" customHeight="1" spans="1:9">
      <c r="A18" s="36" t="s">
        <v>315</v>
      </c>
      <c r="B18" s="37" t="s">
        <v>316</v>
      </c>
      <c r="C18" s="38">
        <f>4346833.61/10000</f>
        <v>434.683361</v>
      </c>
      <c r="D18" s="37" t="s">
        <v>317</v>
      </c>
      <c r="E18" s="37" t="s">
        <v>318</v>
      </c>
      <c r="F18" s="38">
        <v>0</v>
      </c>
      <c r="G18" s="37" t="s">
        <v>319</v>
      </c>
      <c r="H18" s="37" t="s">
        <v>320</v>
      </c>
      <c r="I18" s="38" t="s">
        <v>5</v>
      </c>
    </row>
    <row r="19" s="2" customFormat="1" ht="20" customHeight="1" spans="1:9">
      <c r="A19" s="36" t="s">
        <v>321</v>
      </c>
      <c r="B19" s="37" t="s">
        <v>322</v>
      </c>
      <c r="C19" s="38">
        <f>102646/10000</f>
        <v>10.2646</v>
      </c>
      <c r="D19" s="37" t="s">
        <v>323</v>
      </c>
      <c r="E19" s="37" t="s">
        <v>324</v>
      </c>
      <c r="F19" s="38">
        <f>186638/10000</f>
        <v>18.6638</v>
      </c>
      <c r="G19" s="37" t="s">
        <v>325</v>
      </c>
      <c r="H19" s="37" t="s">
        <v>326</v>
      </c>
      <c r="I19" s="38" t="s">
        <v>5</v>
      </c>
    </row>
    <row r="20" s="2" customFormat="1" ht="20" customHeight="1" spans="1:9">
      <c r="A20" s="36" t="s">
        <v>327</v>
      </c>
      <c r="B20" s="37" t="s">
        <v>328</v>
      </c>
      <c r="C20" s="38">
        <v>0</v>
      </c>
      <c r="D20" s="37" t="s">
        <v>329</v>
      </c>
      <c r="E20" s="37" t="s">
        <v>330</v>
      </c>
      <c r="F20" s="38">
        <f>337252.49/10000</f>
        <v>33.725249</v>
      </c>
      <c r="G20" s="37" t="s">
        <v>331</v>
      </c>
      <c r="H20" s="37" t="s">
        <v>332</v>
      </c>
      <c r="I20" s="38" t="s">
        <v>5</v>
      </c>
    </row>
    <row r="21" s="2" customFormat="1" ht="20" customHeight="1" spans="1:9">
      <c r="A21" s="47" t="s">
        <v>333</v>
      </c>
      <c r="B21" s="48" t="s">
        <v>334</v>
      </c>
      <c r="C21" s="49">
        <f>SUM(C22:C33)</f>
        <v>72.7868</v>
      </c>
      <c r="D21" s="37" t="s">
        <v>335</v>
      </c>
      <c r="E21" s="37" t="s">
        <v>336</v>
      </c>
      <c r="F21" s="38">
        <f>32446/10000</f>
        <v>3.2446</v>
      </c>
      <c r="G21" s="37" t="s">
        <v>337</v>
      </c>
      <c r="H21" s="37" t="s">
        <v>338</v>
      </c>
      <c r="I21" s="38" t="s">
        <v>5</v>
      </c>
    </row>
    <row r="22" s="2" customFormat="1" ht="20" customHeight="1" spans="1:9">
      <c r="A22" s="36" t="s">
        <v>339</v>
      </c>
      <c r="B22" s="37" t="s">
        <v>340</v>
      </c>
      <c r="C22" s="38">
        <v>0</v>
      </c>
      <c r="D22" s="37" t="s">
        <v>341</v>
      </c>
      <c r="E22" s="37" t="s">
        <v>342</v>
      </c>
      <c r="F22" s="38">
        <f>73323.5/10000</f>
        <v>7.33235</v>
      </c>
      <c r="G22" s="37" t="s">
        <v>343</v>
      </c>
      <c r="H22" s="37" t="s">
        <v>344</v>
      </c>
      <c r="I22" s="38" t="s">
        <v>5</v>
      </c>
    </row>
    <row r="23" s="2" customFormat="1" ht="20" customHeight="1" spans="1:9">
      <c r="A23" s="36" t="s">
        <v>345</v>
      </c>
      <c r="B23" s="37" t="s">
        <v>346</v>
      </c>
      <c r="C23" s="38">
        <f>657880/10000</f>
        <v>65.788</v>
      </c>
      <c r="D23" s="37" t="s">
        <v>347</v>
      </c>
      <c r="E23" s="37" t="s">
        <v>348</v>
      </c>
      <c r="F23" s="38">
        <f>136352/10000</f>
        <v>13.6352</v>
      </c>
      <c r="G23" s="37" t="s">
        <v>349</v>
      </c>
      <c r="H23" s="37" t="s">
        <v>350</v>
      </c>
      <c r="I23" s="38" t="s">
        <v>5</v>
      </c>
    </row>
    <row r="24" s="2" customFormat="1" ht="20" customHeight="1" spans="1:9">
      <c r="A24" s="36" t="s">
        <v>351</v>
      </c>
      <c r="B24" s="37" t="s">
        <v>352</v>
      </c>
      <c r="C24" s="38">
        <v>0</v>
      </c>
      <c r="D24" s="37" t="s">
        <v>353</v>
      </c>
      <c r="E24" s="37" t="s">
        <v>354</v>
      </c>
      <c r="F24" s="38">
        <v>0</v>
      </c>
      <c r="G24" s="37" t="s">
        <v>355</v>
      </c>
      <c r="H24" s="37" t="s">
        <v>356</v>
      </c>
      <c r="I24" s="38" t="s">
        <v>5</v>
      </c>
    </row>
    <row r="25" s="2" customFormat="1" ht="20" customHeight="1" spans="1:9">
      <c r="A25" s="36" t="s">
        <v>357</v>
      </c>
      <c r="B25" s="37" t="s">
        <v>358</v>
      </c>
      <c r="C25" s="38">
        <f>62988/10000</f>
        <v>6.2988</v>
      </c>
      <c r="D25" s="37" t="s">
        <v>359</v>
      </c>
      <c r="E25" s="37" t="s">
        <v>360</v>
      </c>
      <c r="F25" s="38">
        <v>0</v>
      </c>
      <c r="G25" s="37" t="s">
        <v>361</v>
      </c>
      <c r="H25" s="37" t="s">
        <v>362</v>
      </c>
      <c r="I25" s="38" t="s">
        <v>5</v>
      </c>
    </row>
    <row r="26" s="2" customFormat="1" ht="20" customHeight="1" spans="1:9">
      <c r="A26" s="36" t="s">
        <v>363</v>
      </c>
      <c r="B26" s="37" t="s">
        <v>364</v>
      </c>
      <c r="C26" s="38">
        <v>0</v>
      </c>
      <c r="D26" s="37" t="s">
        <v>365</v>
      </c>
      <c r="E26" s="37" t="s">
        <v>366</v>
      </c>
      <c r="F26" s="38">
        <v>0</v>
      </c>
      <c r="G26" s="37" t="s">
        <v>367</v>
      </c>
      <c r="H26" s="37" t="s">
        <v>368</v>
      </c>
      <c r="I26" s="38" t="s">
        <v>5</v>
      </c>
    </row>
    <row r="27" s="2" customFormat="1" ht="20" customHeight="1" spans="1:9">
      <c r="A27" s="36" t="s">
        <v>369</v>
      </c>
      <c r="B27" s="37" t="s">
        <v>370</v>
      </c>
      <c r="C27" s="38">
        <v>0</v>
      </c>
      <c r="D27" s="37" t="s">
        <v>371</v>
      </c>
      <c r="E27" s="37" t="s">
        <v>372</v>
      </c>
      <c r="F27" s="38">
        <f>327039.33/10000</f>
        <v>32.703933</v>
      </c>
      <c r="G27" s="37" t="s">
        <v>373</v>
      </c>
      <c r="H27" s="48" t="s">
        <v>204</v>
      </c>
      <c r="I27" s="49" t="s">
        <v>5</v>
      </c>
    </row>
    <row r="28" s="2" customFormat="1" ht="20" customHeight="1" spans="1:9">
      <c r="A28" s="36" t="s">
        <v>374</v>
      </c>
      <c r="B28" s="37" t="s">
        <v>375</v>
      </c>
      <c r="C28" s="38">
        <v>0</v>
      </c>
      <c r="D28" s="37" t="s">
        <v>376</v>
      </c>
      <c r="E28" s="37" t="s">
        <v>377</v>
      </c>
      <c r="F28" s="38">
        <f>3078465.57/10000</f>
        <v>307.846557</v>
      </c>
      <c r="G28" s="37" t="s">
        <v>378</v>
      </c>
      <c r="H28" s="37" t="s">
        <v>379</v>
      </c>
      <c r="I28" s="38" t="s">
        <v>5</v>
      </c>
    </row>
    <row r="29" s="2" customFormat="1" ht="20" customHeight="1" spans="1:9">
      <c r="A29" s="36" t="s">
        <v>380</v>
      </c>
      <c r="B29" s="37" t="s">
        <v>381</v>
      </c>
      <c r="C29" s="38">
        <v>0</v>
      </c>
      <c r="D29" s="37" t="s">
        <v>382</v>
      </c>
      <c r="E29" s="37" t="s">
        <v>383</v>
      </c>
      <c r="F29" s="38">
        <f>1083079.46/10000</f>
        <v>108.307946</v>
      </c>
      <c r="G29" s="37" t="s">
        <v>384</v>
      </c>
      <c r="H29" s="37" t="s">
        <v>385</v>
      </c>
      <c r="I29" s="38" t="s">
        <v>5</v>
      </c>
    </row>
    <row r="30" s="2" customFormat="1" ht="20" customHeight="1" spans="1:9">
      <c r="A30" s="36" t="s">
        <v>386</v>
      </c>
      <c r="B30" s="37" t="s">
        <v>387</v>
      </c>
      <c r="C30" s="38">
        <v>0</v>
      </c>
      <c r="D30" s="37" t="s">
        <v>388</v>
      </c>
      <c r="E30" s="37" t="s">
        <v>389</v>
      </c>
      <c r="F30" s="38">
        <f>66270/10000</f>
        <v>6.627</v>
      </c>
      <c r="G30" s="37" t="s">
        <v>390</v>
      </c>
      <c r="H30" s="37" t="s">
        <v>391</v>
      </c>
      <c r="I30" s="38" t="s">
        <v>5</v>
      </c>
    </row>
    <row r="31" s="2" customFormat="1" ht="20" customHeight="1" spans="1:9">
      <c r="A31" s="36" t="s">
        <v>392</v>
      </c>
      <c r="B31" s="37" t="s">
        <v>393</v>
      </c>
      <c r="C31" s="38">
        <v>0</v>
      </c>
      <c r="D31" s="37" t="s">
        <v>394</v>
      </c>
      <c r="E31" s="37" t="s">
        <v>395</v>
      </c>
      <c r="F31" s="38">
        <v>0</v>
      </c>
      <c r="G31" s="37" t="s">
        <v>396</v>
      </c>
      <c r="H31" s="37" t="s">
        <v>397</v>
      </c>
      <c r="I31" s="38" t="s">
        <v>5</v>
      </c>
    </row>
    <row r="32" s="2" customFormat="1" ht="20" customHeight="1" spans="1:9">
      <c r="A32" s="36" t="s">
        <v>398</v>
      </c>
      <c r="B32" s="37" t="s">
        <v>399</v>
      </c>
      <c r="C32" s="38">
        <v>0</v>
      </c>
      <c r="D32" s="37" t="s">
        <v>400</v>
      </c>
      <c r="E32" s="37" t="s">
        <v>401</v>
      </c>
      <c r="F32" s="38">
        <f>1091933.97/10000</f>
        <v>109.193397</v>
      </c>
      <c r="G32" s="37" t="s">
        <v>402</v>
      </c>
      <c r="H32" s="37" t="s">
        <v>403</v>
      </c>
      <c r="I32" s="38" t="s">
        <v>5</v>
      </c>
    </row>
    <row r="33" s="2" customFormat="1" ht="20" customHeight="1" spans="1:9">
      <c r="A33" s="36" t="s">
        <v>404</v>
      </c>
      <c r="B33" s="37" t="s">
        <v>405</v>
      </c>
      <c r="C33" s="38">
        <f>7000/10000</f>
        <v>0.7</v>
      </c>
      <c r="D33" s="37" t="s">
        <v>406</v>
      </c>
      <c r="E33" s="37" t="s">
        <v>407</v>
      </c>
      <c r="F33" s="38">
        <f>23546.21/10000</f>
        <v>2.354621</v>
      </c>
      <c r="G33" s="37" t="s">
        <v>5</v>
      </c>
      <c r="H33" s="37" t="s">
        <v>5</v>
      </c>
      <c r="I33" s="38" t="s">
        <v>5</v>
      </c>
    </row>
    <row r="34" s="2" customFormat="1" ht="20" customHeight="1" spans="1:9">
      <c r="A34" s="36" t="s">
        <v>5</v>
      </c>
      <c r="B34" s="37" t="s">
        <v>5</v>
      </c>
      <c r="C34" s="38" t="s">
        <v>5</v>
      </c>
      <c r="D34" s="37" t="s">
        <v>408</v>
      </c>
      <c r="E34" s="37" t="s">
        <v>409</v>
      </c>
      <c r="F34" s="38">
        <f>4177185.14/10000</f>
        <v>417.718514</v>
      </c>
      <c r="G34" s="37" t="s">
        <v>5</v>
      </c>
      <c r="H34" s="37" t="s">
        <v>5</v>
      </c>
      <c r="I34" s="38" t="s">
        <v>5</v>
      </c>
    </row>
    <row r="35" s="3" customFormat="1" ht="20" customHeight="1" spans="1:9">
      <c r="A35" s="50" t="s">
        <v>410</v>
      </c>
      <c r="B35" s="12" t="s">
        <v>5</v>
      </c>
      <c r="C35" s="49">
        <f>C7+C21</f>
        <v>3989.693756</v>
      </c>
      <c r="D35" s="12" t="s">
        <v>411</v>
      </c>
      <c r="E35" s="12" t="s">
        <v>5</v>
      </c>
      <c r="F35" s="12" t="s">
        <v>5</v>
      </c>
      <c r="G35" s="12" t="s">
        <v>5</v>
      </c>
      <c r="H35" s="12" t="s">
        <v>5</v>
      </c>
      <c r="I35" s="49">
        <f>F7+I10</f>
        <v>1472.499392</v>
      </c>
    </row>
    <row r="36" s="2" customFormat="1" ht="20" customHeight="1" spans="1:9">
      <c r="A36" s="39" t="s">
        <v>412</v>
      </c>
      <c r="B36" s="39" t="s">
        <v>5</v>
      </c>
      <c r="C36" s="39" t="s">
        <v>5</v>
      </c>
      <c r="D36" s="39" t="s">
        <v>5</v>
      </c>
      <c r="E36" s="39" t="s">
        <v>5</v>
      </c>
      <c r="F36" s="39" t="s">
        <v>5</v>
      </c>
      <c r="G36" s="39" t="s">
        <v>5</v>
      </c>
      <c r="H36" s="39" t="s">
        <v>5</v>
      </c>
      <c r="I36" s="39" t="s">
        <v>5</v>
      </c>
    </row>
    <row r="38" spans="5:5">
      <c r="E38" s="18" t="s">
        <v>413</v>
      </c>
    </row>
  </sheetData>
  <mergeCells count="44">
    <mergeCell ref="A1:I1"/>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zoomScaleSheetLayoutView="60" workbookViewId="0">
      <pane xSplit="4" ySplit="6" topLeftCell="E7" activePane="bottomRight" state="frozen"/>
      <selection/>
      <selection pane="topRight"/>
      <selection pane="bottomLeft"/>
      <selection pane="bottomRight" activeCell="G24" sqref="G24"/>
    </sheetView>
  </sheetViews>
  <sheetFormatPr defaultColWidth="8.88571428571429" defaultRowHeight="12.75"/>
  <cols>
    <col min="1" max="1" width="4.42857142857143" style="5" customWidth="1"/>
    <col min="2" max="2" width="2.71428571428571" style="5" customWidth="1"/>
    <col min="3" max="3" width="3.57142857142857" style="5" customWidth="1"/>
    <col min="4" max="4" width="32.847619047619" style="5" customWidth="1"/>
    <col min="5" max="10" width="16" style="5" customWidth="1"/>
    <col min="11" max="11" width="9.76190476190476" style="5"/>
    <col min="12" max="16384" width="8.88571428571429" style="5"/>
  </cols>
  <sheetData>
    <row r="1" s="1" customFormat="1" ht="21" customHeight="1" spans="1:10">
      <c r="A1" s="6" t="s">
        <v>414</v>
      </c>
      <c r="B1" s="7"/>
      <c r="C1" s="7"/>
      <c r="D1" s="7"/>
      <c r="E1" s="7"/>
      <c r="F1" s="6" t="s">
        <v>414</v>
      </c>
      <c r="G1" s="7"/>
      <c r="H1" s="7"/>
      <c r="I1" s="7"/>
      <c r="J1" s="7"/>
    </row>
    <row r="2" s="2" customFormat="1" ht="21" customHeight="1" spans="10:10">
      <c r="J2" s="19" t="s">
        <v>415</v>
      </c>
    </row>
    <row r="3" s="2" customFormat="1" ht="21" customHeight="1" spans="1:10">
      <c r="A3" s="2" t="str">
        <f>一般公共预算财政拨款基本支出决算表!A3</f>
        <v>部门：岳阳县自然资源局</v>
      </c>
      <c r="J3" s="19" t="s">
        <v>3</v>
      </c>
    </row>
    <row r="4" s="3" customFormat="1" ht="21" customHeight="1" spans="1:11">
      <c r="A4" s="22" t="s">
        <v>416</v>
      </c>
      <c r="B4" s="23" t="s">
        <v>5</v>
      </c>
      <c r="C4" s="23" t="s">
        <v>5</v>
      </c>
      <c r="D4" s="23" t="s">
        <v>119</v>
      </c>
      <c r="E4" s="23" t="s">
        <v>105</v>
      </c>
      <c r="F4" s="23" t="s">
        <v>417</v>
      </c>
      <c r="G4" s="23" t="s">
        <v>240</v>
      </c>
      <c r="H4" s="23" t="s">
        <v>5</v>
      </c>
      <c r="I4" s="23" t="s">
        <v>5</v>
      </c>
      <c r="J4" s="23" t="s">
        <v>107</v>
      </c>
      <c r="K4" s="24"/>
    </row>
    <row r="5" s="3" customFormat="1" ht="30" customHeight="1" spans="1:11">
      <c r="A5" s="10" t="s">
        <v>126</v>
      </c>
      <c r="B5" s="11" t="s">
        <v>5</v>
      </c>
      <c r="C5" s="11" t="s">
        <v>5</v>
      </c>
      <c r="D5" s="11" t="s">
        <v>119</v>
      </c>
      <c r="E5" s="11" t="s">
        <v>130</v>
      </c>
      <c r="F5" s="11" t="s">
        <v>130</v>
      </c>
      <c r="G5" s="11" t="s">
        <v>127</v>
      </c>
      <c r="H5" s="11" t="s">
        <v>211</v>
      </c>
      <c r="I5" s="11" t="s">
        <v>212</v>
      </c>
      <c r="J5" s="11" t="s">
        <v>130</v>
      </c>
      <c r="K5" s="24"/>
    </row>
    <row r="6" s="3" customFormat="1" ht="21" customHeight="1" spans="1:11">
      <c r="A6" s="25" t="s">
        <v>418</v>
      </c>
      <c r="B6" s="25" t="s">
        <v>128</v>
      </c>
      <c r="C6" s="25" t="s">
        <v>129</v>
      </c>
      <c r="D6" s="25" t="s">
        <v>10</v>
      </c>
      <c r="E6" s="43" t="s">
        <v>11</v>
      </c>
      <c r="F6" s="43" t="s">
        <v>12</v>
      </c>
      <c r="G6" s="43" t="s">
        <v>20</v>
      </c>
      <c r="H6" s="43" t="s">
        <v>24</v>
      </c>
      <c r="I6" s="43" t="s">
        <v>28</v>
      </c>
      <c r="J6" s="43" t="s">
        <v>32</v>
      </c>
      <c r="K6" s="24"/>
    </row>
    <row r="7" s="3" customFormat="1" ht="21" customHeight="1" spans="1:11">
      <c r="A7" s="44" t="s">
        <v>419</v>
      </c>
      <c r="B7" s="44" t="s">
        <v>5</v>
      </c>
      <c r="C7" s="44" t="s">
        <v>5</v>
      </c>
      <c r="D7" s="44" t="s">
        <v>130</v>
      </c>
      <c r="E7" s="28">
        <v>0</v>
      </c>
      <c r="F7" s="28">
        <f>F8</f>
        <v>1435.462037</v>
      </c>
      <c r="G7" s="28">
        <f>H7+I7</f>
        <v>1435.462037</v>
      </c>
      <c r="H7" s="28">
        <f>H8</f>
        <v>887.738037</v>
      </c>
      <c r="I7" s="28">
        <f>I8</f>
        <v>547.724</v>
      </c>
      <c r="J7" s="28">
        <v>0</v>
      </c>
      <c r="K7" s="24"/>
    </row>
    <row r="8" s="20" customFormat="1" ht="21" customHeight="1" spans="1:10">
      <c r="A8" s="27" t="s">
        <v>156</v>
      </c>
      <c r="B8" s="27"/>
      <c r="C8" s="27"/>
      <c r="D8" s="27" t="s">
        <v>157</v>
      </c>
      <c r="E8" s="28">
        <v>0</v>
      </c>
      <c r="F8" s="28">
        <f>F9</f>
        <v>1435.462037</v>
      </c>
      <c r="G8" s="28">
        <f t="shared" ref="G8:G13" si="0">H8+I8</f>
        <v>1435.462037</v>
      </c>
      <c r="H8" s="28">
        <f>H9</f>
        <v>887.738037</v>
      </c>
      <c r="I8" s="28">
        <f>I9</f>
        <v>547.724</v>
      </c>
      <c r="J8" s="28">
        <v>0</v>
      </c>
    </row>
    <row r="9" s="21" customFormat="1" ht="21" customHeight="1" spans="1:10">
      <c r="A9" s="29" t="s">
        <v>158</v>
      </c>
      <c r="B9" s="29"/>
      <c r="C9" s="29"/>
      <c r="D9" s="29" t="s">
        <v>159</v>
      </c>
      <c r="E9" s="31">
        <v>0</v>
      </c>
      <c r="F9" s="31">
        <f>SUM(F10:F13)</f>
        <v>1435.462037</v>
      </c>
      <c r="G9" s="31">
        <f t="shared" si="0"/>
        <v>1435.462037</v>
      </c>
      <c r="H9" s="31">
        <f>SUM(H10:H13)</f>
        <v>887.738037</v>
      </c>
      <c r="I9" s="31">
        <f>SUM(I10:I13)</f>
        <v>547.724</v>
      </c>
      <c r="J9" s="31">
        <v>0</v>
      </c>
    </row>
    <row r="10" s="21" customFormat="1" ht="21" customHeight="1" spans="1:10">
      <c r="A10" s="29" t="s">
        <v>160</v>
      </c>
      <c r="B10" s="29"/>
      <c r="C10" s="29"/>
      <c r="D10" s="29" t="s">
        <v>161</v>
      </c>
      <c r="E10" s="31">
        <v>0</v>
      </c>
      <c r="F10" s="31">
        <f>5622718.78/10000</f>
        <v>562.271878</v>
      </c>
      <c r="G10" s="31">
        <f t="shared" si="0"/>
        <v>562.271878</v>
      </c>
      <c r="H10" s="31">
        <f>5622478.78/10000</f>
        <v>562.247878</v>
      </c>
      <c r="I10" s="31">
        <f>240/10000</f>
        <v>0.024</v>
      </c>
      <c r="J10" s="31">
        <v>0</v>
      </c>
    </row>
    <row r="11" s="21" customFormat="1" ht="21" customHeight="1" spans="1:10">
      <c r="A11" s="29" t="s">
        <v>162</v>
      </c>
      <c r="B11" s="29"/>
      <c r="C11" s="29"/>
      <c r="D11" s="29" t="s">
        <v>163</v>
      </c>
      <c r="E11" s="31">
        <v>0</v>
      </c>
      <c r="F11" s="31">
        <f>81000/10000</f>
        <v>8.1</v>
      </c>
      <c r="G11" s="31">
        <f t="shared" si="0"/>
        <v>8.1</v>
      </c>
      <c r="H11" s="31">
        <f>81000/10000</f>
        <v>8.1</v>
      </c>
      <c r="I11" s="31">
        <v>0</v>
      </c>
      <c r="J11" s="31">
        <v>0</v>
      </c>
    </row>
    <row r="12" s="21" customFormat="1" ht="21" customHeight="1" spans="1:10">
      <c r="A12" s="29" t="s">
        <v>164</v>
      </c>
      <c r="B12" s="29"/>
      <c r="C12" s="29"/>
      <c r="D12" s="29" t="s">
        <v>165</v>
      </c>
      <c r="E12" s="31">
        <v>0</v>
      </c>
      <c r="F12" s="31">
        <f>759.59/10000</f>
        <v>0.075959</v>
      </c>
      <c r="G12" s="31">
        <f t="shared" si="0"/>
        <v>0.075959</v>
      </c>
      <c r="H12" s="31">
        <f>759.59/10000</f>
        <v>0.075959</v>
      </c>
      <c r="I12" s="31">
        <v>0</v>
      </c>
      <c r="J12" s="31">
        <v>0</v>
      </c>
    </row>
    <row r="13" s="21" customFormat="1" ht="21" customHeight="1" spans="1:10">
      <c r="A13" s="45" t="s">
        <v>166</v>
      </c>
      <c r="B13" s="45"/>
      <c r="C13" s="45"/>
      <c r="D13" s="45" t="s">
        <v>167</v>
      </c>
      <c r="E13" s="46">
        <v>0</v>
      </c>
      <c r="F13" s="46">
        <f>8650142/10000</f>
        <v>865.0142</v>
      </c>
      <c r="G13" s="31">
        <f t="shared" si="0"/>
        <v>865.0142</v>
      </c>
      <c r="H13" s="46">
        <f>3173142/10000</f>
        <v>317.3142</v>
      </c>
      <c r="I13" s="46">
        <f>5477000/10000</f>
        <v>547.7</v>
      </c>
      <c r="J13" s="46">
        <v>0</v>
      </c>
    </row>
    <row r="14" s="2" customFormat="1" ht="21" customHeight="1" spans="1:10">
      <c r="A14" s="39" t="s">
        <v>420</v>
      </c>
      <c r="B14" s="39" t="s">
        <v>5</v>
      </c>
      <c r="C14" s="39" t="s">
        <v>5</v>
      </c>
      <c r="D14" s="39" t="s">
        <v>5</v>
      </c>
      <c r="E14" s="39" t="s">
        <v>5</v>
      </c>
      <c r="F14" s="39" t="s">
        <v>5</v>
      </c>
      <c r="G14" s="39" t="s">
        <v>5</v>
      </c>
      <c r="H14" s="39" t="s">
        <v>5</v>
      </c>
      <c r="I14" s="39" t="s">
        <v>5</v>
      </c>
      <c r="J14" s="39" t="s">
        <v>5</v>
      </c>
    </row>
    <row r="15" ht="15.4" customHeight="1" spans="1:10">
      <c r="A15" s="40" t="s">
        <v>5</v>
      </c>
      <c r="B15" s="40" t="s">
        <v>5</v>
      </c>
      <c r="C15" s="40" t="s">
        <v>5</v>
      </c>
      <c r="D15" s="40" t="s">
        <v>5</v>
      </c>
      <c r="E15" s="40" t="s">
        <v>5</v>
      </c>
      <c r="F15" s="40" t="s">
        <v>5</v>
      </c>
      <c r="G15" s="40" t="s">
        <v>5</v>
      </c>
      <c r="H15" s="40" t="s">
        <v>5</v>
      </c>
      <c r="I15" s="40" t="s">
        <v>5</v>
      </c>
      <c r="J15" s="40" t="s">
        <v>5</v>
      </c>
    </row>
    <row r="17" spans="6:6">
      <c r="F17" s="42"/>
    </row>
  </sheetData>
  <mergeCells count="50">
    <mergeCell ref="A1:J1"/>
    <mergeCell ref="A4:D4"/>
    <mergeCell ref="A4:D4"/>
    <mergeCell ref="A4:D4"/>
    <mergeCell ref="A4:D4"/>
    <mergeCell ref="G4:I4"/>
    <mergeCell ref="G4:I4"/>
    <mergeCell ref="G4:I4"/>
    <mergeCell ref="A5:C5"/>
    <mergeCell ref="A5:C5"/>
    <mergeCell ref="A5:C5"/>
    <mergeCell ref="A6:D6"/>
    <mergeCell ref="A6:D6"/>
    <mergeCell ref="A6:D6"/>
    <mergeCell ref="A6:D6"/>
    <mergeCell ref="A7:D7"/>
    <mergeCell ref="A7:D7"/>
    <mergeCell ref="A7:D7"/>
    <mergeCell ref="A7:D7"/>
    <mergeCell ref="A8:C8"/>
    <mergeCell ref="A9:C9"/>
    <mergeCell ref="A10:C10"/>
    <mergeCell ref="A11:C11"/>
    <mergeCell ref="A12:C12"/>
    <mergeCell ref="A13:C13"/>
    <mergeCell ref="A14:J14"/>
    <mergeCell ref="A14:J14"/>
    <mergeCell ref="A14:J14"/>
    <mergeCell ref="A14:J14"/>
    <mergeCell ref="A14:J14"/>
    <mergeCell ref="A14:J14"/>
    <mergeCell ref="A14:J14"/>
    <mergeCell ref="A14:J14"/>
    <mergeCell ref="A14:J14"/>
    <mergeCell ref="A14:J14"/>
    <mergeCell ref="B15:J15"/>
    <mergeCell ref="B15:J15"/>
    <mergeCell ref="B15:J15"/>
    <mergeCell ref="B15:J15"/>
    <mergeCell ref="B15:J15"/>
    <mergeCell ref="B15:J15"/>
    <mergeCell ref="B15:J15"/>
    <mergeCell ref="B15:J15"/>
    <mergeCell ref="B15:J15"/>
    <mergeCell ref="E4:E5"/>
    <mergeCell ref="E4:E5"/>
    <mergeCell ref="F4:F5"/>
    <mergeCell ref="F4:F5"/>
    <mergeCell ref="J4:J5"/>
    <mergeCell ref="J4:J5"/>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zoomScaleSheetLayoutView="60" workbookViewId="0">
      <pane xSplit="4" ySplit="8" topLeftCell="E9" activePane="bottomRight" state="frozen"/>
      <selection/>
      <selection pane="topRight"/>
      <selection pane="bottomLeft"/>
      <selection pane="bottomRight" activeCell="D12" sqref="D12"/>
    </sheetView>
  </sheetViews>
  <sheetFormatPr defaultColWidth="8.88571428571429" defaultRowHeight="12.75" outlineLevelCol="7"/>
  <cols>
    <col min="1" max="1" width="4.57142857142857" style="5" customWidth="1"/>
    <col min="2" max="3" width="4.13333333333333" style="5" customWidth="1"/>
    <col min="4" max="4" width="35.847619047619" style="5" customWidth="1"/>
    <col min="5" max="5" width="16" style="5" customWidth="1"/>
    <col min="6" max="7" width="17.1333333333333" style="5" customWidth="1"/>
    <col min="8" max="8" width="9.76190476190476" style="5"/>
    <col min="9" max="16384" width="8.88571428571429" style="5"/>
  </cols>
  <sheetData>
    <row r="1" s="1" customFormat="1" ht="24" customHeight="1" spans="1:7">
      <c r="A1" s="6" t="s">
        <v>421</v>
      </c>
      <c r="B1" s="7"/>
      <c r="C1" s="7"/>
      <c r="D1" s="7"/>
      <c r="E1" s="6" t="s">
        <v>421</v>
      </c>
      <c r="F1" s="7"/>
      <c r="G1" s="7"/>
    </row>
    <row r="2" s="2" customFormat="1" ht="21" customHeight="1" spans="7:7">
      <c r="G2" s="19" t="s">
        <v>422</v>
      </c>
    </row>
    <row r="3" s="2" customFormat="1" ht="21" customHeight="1" spans="1:7">
      <c r="A3" s="2" t="str">
        <f>政府性基金预算财政拨款收入支出决算表!A3</f>
        <v>部门：岳阳县自然资源局</v>
      </c>
      <c r="G3" s="19" t="s">
        <v>3</v>
      </c>
    </row>
    <row r="4" s="3" customFormat="1" ht="21" customHeight="1" spans="1:8">
      <c r="A4" s="22" t="s">
        <v>7</v>
      </c>
      <c r="B4" s="23" t="s">
        <v>5</v>
      </c>
      <c r="C4" s="23" t="s">
        <v>5</v>
      </c>
      <c r="D4" s="23" t="s">
        <v>119</v>
      </c>
      <c r="E4" s="23" t="s">
        <v>240</v>
      </c>
      <c r="F4" s="23" t="s">
        <v>5</v>
      </c>
      <c r="G4" s="23" t="s">
        <v>5</v>
      </c>
      <c r="H4" s="24"/>
    </row>
    <row r="5" s="3" customFormat="1" ht="21" customHeight="1" spans="1:8">
      <c r="A5" s="10" t="s">
        <v>126</v>
      </c>
      <c r="B5" s="11" t="s">
        <v>5</v>
      </c>
      <c r="C5" s="11" t="s">
        <v>5</v>
      </c>
      <c r="D5" s="11" t="s">
        <v>119</v>
      </c>
      <c r="E5" s="11" t="s">
        <v>130</v>
      </c>
      <c r="F5" s="11" t="s">
        <v>211</v>
      </c>
      <c r="G5" s="11" t="s">
        <v>212</v>
      </c>
      <c r="H5" s="24"/>
    </row>
    <row r="6" s="3" customFormat="1" ht="21" customHeight="1" spans="1:8">
      <c r="A6" s="10" t="s">
        <v>5</v>
      </c>
      <c r="B6" s="11" t="s">
        <v>5</v>
      </c>
      <c r="C6" s="11" t="s">
        <v>5</v>
      </c>
      <c r="D6" s="11" t="s">
        <v>5</v>
      </c>
      <c r="E6" s="11" t="s">
        <v>5</v>
      </c>
      <c r="F6" s="11" t="s">
        <v>5</v>
      </c>
      <c r="G6" s="11" t="s">
        <v>5</v>
      </c>
      <c r="H6" s="24"/>
    </row>
    <row r="7" s="3" customFormat="1" ht="21" customHeight="1" spans="1:8">
      <c r="A7" s="10" t="s">
        <v>5</v>
      </c>
      <c r="B7" s="11" t="s">
        <v>5</v>
      </c>
      <c r="C7" s="11" t="s">
        <v>5</v>
      </c>
      <c r="D7" s="11" t="s">
        <v>119</v>
      </c>
      <c r="E7" s="11" t="s">
        <v>5</v>
      </c>
      <c r="F7" s="11" t="s">
        <v>5</v>
      </c>
      <c r="G7" s="11" t="s">
        <v>5</v>
      </c>
      <c r="H7" s="24"/>
    </row>
    <row r="8" s="3" customFormat="1" ht="21" customHeight="1" spans="1:8">
      <c r="A8" s="10" t="s">
        <v>10</v>
      </c>
      <c r="B8" s="11" t="s">
        <v>128</v>
      </c>
      <c r="C8" s="11" t="s">
        <v>129</v>
      </c>
      <c r="D8" s="11" t="s">
        <v>10</v>
      </c>
      <c r="E8" s="12" t="s">
        <v>20</v>
      </c>
      <c r="F8" s="12" t="s">
        <v>5</v>
      </c>
      <c r="G8" s="12" t="s">
        <v>5</v>
      </c>
      <c r="H8" s="24"/>
    </row>
    <row r="9" s="3" customFormat="1" ht="21" customHeight="1" spans="1:8">
      <c r="A9" s="25" t="s">
        <v>130</v>
      </c>
      <c r="B9" s="25" t="s">
        <v>5</v>
      </c>
      <c r="C9" s="25" t="s">
        <v>5</v>
      </c>
      <c r="D9" s="25" t="s">
        <v>130</v>
      </c>
      <c r="E9" s="26">
        <f>F9+G9</f>
        <v>205</v>
      </c>
      <c r="F9" s="26">
        <v>0</v>
      </c>
      <c r="G9" s="26">
        <f>G10</f>
        <v>205</v>
      </c>
      <c r="H9" s="24"/>
    </row>
    <row r="10" s="20" customFormat="1" ht="21" customHeight="1" spans="1:7">
      <c r="A10" s="27" t="s">
        <v>192</v>
      </c>
      <c r="B10" s="27"/>
      <c r="C10" s="27"/>
      <c r="D10" s="27" t="s">
        <v>193</v>
      </c>
      <c r="E10" s="26">
        <f>F10+G10</f>
        <v>205</v>
      </c>
      <c r="F10" s="28"/>
      <c r="G10" s="28">
        <f>G11</f>
        <v>205</v>
      </c>
    </row>
    <row r="11" s="21" customFormat="1" ht="21" customHeight="1" spans="1:7">
      <c r="A11" s="29" t="s">
        <v>194</v>
      </c>
      <c r="B11" s="29"/>
      <c r="C11" s="29"/>
      <c r="D11" s="29" t="s">
        <v>195</v>
      </c>
      <c r="E11" s="30">
        <f>F11+G11</f>
        <v>205</v>
      </c>
      <c r="F11" s="31"/>
      <c r="G11" s="31">
        <f>G12</f>
        <v>205</v>
      </c>
    </row>
    <row r="12" s="21" customFormat="1" ht="21" customHeight="1" spans="1:7">
      <c r="A12" s="29" t="s">
        <v>196</v>
      </c>
      <c r="B12" s="29"/>
      <c r="C12" s="29"/>
      <c r="D12" s="29" t="s">
        <v>195</v>
      </c>
      <c r="E12" s="30">
        <f>F12+G12</f>
        <v>205</v>
      </c>
      <c r="F12" s="31"/>
      <c r="G12" s="31">
        <f>2050000/10000</f>
        <v>205</v>
      </c>
    </row>
    <row r="13" s="2" customFormat="1" ht="21" customHeight="1" spans="1:7">
      <c r="A13" s="32" t="s">
        <v>5</v>
      </c>
      <c r="B13" s="32" t="s">
        <v>5</v>
      </c>
      <c r="C13" s="32" t="s">
        <v>5</v>
      </c>
      <c r="D13" s="32" t="s">
        <v>5</v>
      </c>
      <c r="E13" s="33" t="s">
        <v>5</v>
      </c>
      <c r="F13" s="33" t="s">
        <v>5</v>
      </c>
      <c r="G13" s="33" t="s">
        <v>5</v>
      </c>
    </row>
    <row r="14" s="2" customFormat="1" ht="21" customHeight="1" spans="1:7">
      <c r="A14" s="34" t="s">
        <v>5</v>
      </c>
      <c r="B14" s="34" t="s">
        <v>5</v>
      </c>
      <c r="C14" s="34" t="s">
        <v>5</v>
      </c>
      <c r="D14" s="34" t="s">
        <v>5</v>
      </c>
      <c r="E14" s="35" t="s">
        <v>5</v>
      </c>
      <c r="F14" s="35" t="s">
        <v>5</v>
      </c>
      <c r="G14" s="35" t="s">
        <v>5</v>
      </c>
    </row>
    <row r="15" s="2" customFormat="1" ht="21" customHeight="1" spans="1:7">
      <c r="A15" s="36" t="s">
        <v>5</v>
      </c>
      <c r="B15" s="37" t="s">
        <v>5</v>
      </c>
      <c r="C15" s="37" t="s">
        <v>5</v>
      </c>
      <c r="D15" s="37" t="s">
        <v>5</v>
      </c>
      <c r="E15" s="38" t="s">
        <v>5</v>
      </c>
      <c r="F15" s="38" t="s">
        <v>5</v>
      </c>
      <c r="G15" s="38" t="s">
        <v>5</v>
      </c>
    </row>
    <row r="16" s="2" customFormat="1" ht="21" customHeight="1" spans="1:7">
      <c r="A16" s="39" t="s">
        <v>423</v>
      </c>
      <c r="B16" s="39" t="s">
        <v>5</v>
      </c>
      <c r="C16" s="39" t="s">
        <v>5</v>
      </c>
      <c r="D16" s="39" t="s">
        <v>5</v>
      </c>
      <c r="E16" s="39" t="s">
        <v>5</v>
      </c>
      <c r="F16" s="39" t="s">
        <v>5</v>
      </c>
      <c r="G16" s="39" t="s">
        <v>5</v>
      </c>
    </row>
    <row r="17" ht="15.4" customHeight="1" spans="1:7">
      <c r="A17" s="40" t="s">
        <v>5</v>
      </c>
      <c r="B17" s="40" t="s">
        <v>5</v>
      </c>
      <c r="C17" s="40" t="s">
        <v>5</v>
      </c>
      <c r="D17" s="40" t="s">
        <v>5</v>
      </c>
      <c r="E17" s="40" t="s">
        <v>5</v>
      </c>
      <c r="F17" s="41" t="s">
        <v>5</v>
      </c>
      <c r="G17" s="41" t="s">
        <v>5</v>
      </c>
    </row>
    <row r="18" ht="15.4" customHeight="1" spans="1:7">
      <c r="A18" s="41" t="s">
        <v>5</v>
      </c>
      <c r="B18" s="41" t="s">
        <v>5</v>
      </c>
      <c r="C18" s="41" t="s">
        <v>5</v>
      </c>
      <c r="D18" s="41" t="s">
        <v>5</v>
      </c>
      <c r="E18" s="41" t="s">
        <v>5</v>
      </c>
      <c r="F18" s="41" t="s">
        <v>5</v>
      </c>
      <c r="G18" s="41" t="s">
        <v>5</v>
      </c>
    </row>
    <row r="20" spans="5:5">
      <c r="E20" s="42" t="s">
        <v>424</v>
      </c>
    </row>
  </sheetData>
  <mergeCells count="64">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1:C11"/>
    <mergeCell ref="A12:C12"/>
    <mergeCell ref="A13:C13"/>
    <mergeCell ref="A13:C13"/>
    <mergeCell ref="A13:C13"/>
    <mergeCell ref="A14:C14"/>
    <mergeCell ref="A14:C14"/>
    <mergeCell ref="A14:C14"/>
    <mergeCell ref="A15:C15"/>
    <mergeCell ref="A15:C15"/>
    <mergeCell ref="A15:C15"/>
    <mergeCell ref="A16:E16"/>
    <mergeCell ref="A16:E16"/>
    <mergeCell ref="A16:E16"/>
    <mergeCell ref="A16:E16"/>
    <mergeCell ref="A16:E16"/>
    <mergeCell ref="B17:E17"/>
    <mergeCell ref="B17:E17"/>
    <mergeCell ref="B17:E17"/>
    <mergeCell ref="B17:E17"/>
    <mergeCell ref="B18:G18"/>
    <mergeCell ref="B18:G18"/>
    <mergeCell ref="B18:G18"/>
    <mergeCell ref="B18:G18"/>
    <mergeCell ref="B18:G18"/>
    <mergeCell ref="B18:G18"/>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SheetLayoutView="60" workbookViewId="0">
      <pane xSplit="1" ySplit="7" topLeftCell="B8" activePane="bottomRight" state="frozen"/>
      <selection/>
      <selection pane="topRight"/>
      <selection pane="bottomLeft"/>
      <selection pane="bottomRight" activeCell="L17" sqref="L17"/>
    </sheetView>
  </sheetViews>
  <sheetFormatPr defaultColWidth="8.88571428571429" defaultRowHeight="12.75"/>
  <cols>
    <col min="1" max="1" width="12.2857142857143" style="5" customWidth="1"/>
    <col min="2" max="2" width="12" style="5" customWidth="1"/>
    <col min="3" max="3" width="11" style="5" customWidth="1"/>
    <col min="4" max="4" width="11.1333333333333" style="5" customWidth="1"/>
    <col min="5" max="5" width="12.7142857142857" style="5" customWidth="1"/>
    <col min="6" max="6" width="10.5714285714286" style="5" customWidth="1"/>
    <col min="7" max="7" width="10.4285714285714" style="5" customWidth="1"/>
    <col min="8" max="8" width="12" style="5" customWidth="1"/>
    <col min="9" max="10" width="11.7142857142857" style="5" customWidth="1"/>
    <col min="11" max="11" width="11.4285714285714" style="5" customWidth="1"/>
    <col min="12" max="12" width="10.5714285714286" style="5" customWidth="1"/>
    <col min="13" max="13" width="9.76190476190476" style="5"/>
    <col min="14" max="16384" width="8.88571428571429" style="5"/>
  </cols>
  <sheetData>
    <row r="1" s="1" customFormat="1" ht="23" customHeight="1" spans="1:12">
      <c r="A1" s="6" t="s">
        <v>425</v>
      </c>
      <c r="B1" s="7"/>
      <c r="C1" s="7"/>
      <c r="D1" s="7"/>
      <c r="E1" s="7"/>
      <c r="F1" s="7"/>
      <c r="G1" s="6" t="s">
        <v>425</v>
      </c>
      <c r="H1" s="7"/>
      <c r="I1" s="7"/>
      <c r="J1" s="7"/>
      <c r="K1" s="7"/>
      <c r="L1" s="7"/>
    </row>
    <row r="2" s="2" customFormat="1" ht="24" customHeight="1" spans="12:12">
      <c r="L2" s="19" t="s">
        <v>426</v>
      </c>
    </row>
    <row r="3" s="2" customFormat="1" ht="33" customHeight="1" spans="1:12">
      <c r="A3" s="2" t="str">
        <f>国有资本经营预算财政拨款支出决算表!A3</f>
        <v>部门：岳阳县自然资源局</v>
      </c>
      <c r="L3" s="19" t="s">
        <v>3</v>
      </c>
    </row>
    <row r="4" s="3" customFormat="1" ht="33" customHeight="1" spans="1:12">
      <c r="A4" s="8" t="s">
        <v>427</v>
      </c>
      <c r="B4" s="9" t="s">
        <v>5</v>
      </c>
      <c r="C4" s="9" t="s">
        <v>5</v>
      </c>
      <c r="D4" s="9" t="s">
        <v>246</v>
      </c>
      <c r="E4" s="9" t="s">
        <v>5</v>
      </c>
      <c r="F4" s="9" t="s">
        <v>5</v>
      </c>
      <c r="G4" s="9" t="s">
        <v>248</v>
      </c>
      <c r="H4" s="9" t="s">
        <v>5</v>
      </c>
      <c r="I4" s="9" t="s">
        <v>5</v>
      </c>
      <c r="J4" s="9" t="s">
        <v>5</v>
      </c>
      <c r="K4" s="9" t="s">
        <v>5</v>
      </c>
      <c r="L4" s="9" t="s">
        <v>5</v>
      </c>
    </row>
    <row r="5" s="3" customFormat="1" ht="33" customHeight="1" spans="1:12">
      <c r="A5" s="10" t="s">
        <v>130</v>
      </c>
      <c r="B5" s="11" t="s">
        <v>428</v>
      </c>
      <c r="C5" s="11" t="s">
        <v>429</v>
      </c>
      <c r="D5" s="11" t="s">
        <v>247</v>
      </c>
      <c r="E5" s="11" t="s">
        <v>119</v>
      </c>
      <c r="F5" s="11" t="s">
        <v>430</v>
      </c>
      <c r="G5" s="11" t="s">
        <v>130</v>
      </c>
      <c r="H5" s="11" t="s">
        <v>428</v>
      </c>
      <c r="I5" s="11" t="s">
        <v>429</v>
      </c>
      <c r="J5" s="11" t="s">
        <v>5</v>
      </c>
      <c r="K5" s="11" t="s">
        <v>5</v>
      </c>
      <c r="L5" s="11" t="s">
        <v>430</v>
      </c>
    </row>
    <row r="6" s="3" customFormat="1" ht="33" customHeight="1" spans="1:12">
      <c r="A6" s="10" t="s">
        <v>249</v>
      </c>
      <c r="B6" s="11" t="s">
        <v>250</v>
      </c>
      <c r="C6" s="12" t="s">
        <v>127</v>
      </c>
      <c r="D6" s="11" t="s">
        <v>431</v>
      </c>
      <c r="E6" s="11" t="s">
        <v>432</v>
      </c>
      <c r="F6" s="11" t="s">
        <v>5</v>
      </c>
      <c r="G6" s="11" t="s">
        <v>5</v>
      </c>
      <c r="H6" s="11" t="s">
        <v>5</v>
      </c>
      <c r="I6" s="11" t="s">
        <v>127</v>
      </c>
      <c r="J6" s="11" t="s">
        <v>431</v>
      </c>
      <c r="K6" s="11" t="s">
        <v>432</v>
      </c>
      <c r="L6" s="11" t="s">
        <v>5</v>
      </c>
    </row>
    <row r="7" s="3" customFormat="1" ht="33" customHeight="1" spans="1:12">
      <c r="A7" s="13" t="s">
        <v>11</v>
      </c>
      <c r="B7" s="14" t="s">
        <v>12</v>
      </c>
      <c r="C7" s="14" t="s">
        <v>20</v>
      </c>
      <c r="D7" s="14" t="s">
        <v>24</v>
      </c>
      <c r="E7" s="14" t="s">
        <v>28</v>
      </c>
      <c r="F7" s="14" t="s">
        <v>32</v>
      </c>
      <c r="G7" s="14" t="s">
        <v>36</v>
      </c>
      <c r="H7" s="14" t="s">
        <v>40</v>
      </c>
      <c r="I7" s="14" t="s">
        <v>43</v>
      </c>
      <c r="J7" s="14" t="s">
        <v>46</v>
      </c>
      <c r="K7" s="14" t="s">
        <v>49</v>
      </c>
      <c r="L7" s="14" t="s">
        <v>52</v>
      </c>
    </row>
    <row r="8" s="4" customFormat="1" ht="33" customHeight="1" spans="1:12">
      <c r="A8" s="15">
        <f>B8+C8+F8</f>
        <v>15</v>
      </c>
      <c r="B8" s="15">
        <v>0</v>
      </c>
      <c r="C8" s="15">
        <f>D8+E8</f>
        <v>0</v>
      </c>
      <c r="D8" s="15">
        <v>0</v>
      </c>
      <c r="E8" s="15">
        <v>0</v>
      </c>
      <c r="F8" s="15">
        <f>150000/10000</f>
        <v>15</v>
      </c>
      <c r="G8" s="15">
        <f>H8+I8+L8</f>
        <v>14.7911</v>
      </c>
      <c r="H8" s="15">
        <v>0</v>
      </c>
      <c r="I8" s="15">
        <f>J8+K8</f>
        <v>0</v>
      </c>
      <c r="J8" s="15">
        <v>0</v>
      </c>
      <c r="K8" s="15">
        <v>0</v>
      </c>
      <c r="L8" s="15">
        <f>147911/10000</f>
        <v>14.7911</v>
      </c>
    </row>
    <row r="9" s="2" customFormat="1" ht="40" customHeight="1" spans="1:12">
      <c r="A9" s="16" t="s">
        <v>433</v>
      </c>
      <c r="B9" s="16" t="s">
        <v>5</v>
      </c>
      <c r="C9" s="16" t="s">
        <v>5</v>
      </c>
      <c r="D9" s="16" t="s">
        <v>5</v>
      </c>
      <c r="E9" s="16" t="s">
        <v>5</v>
      </c>
      <c r="F9" s="16" t="s">
        <v>5</v>
      </c>
      <c r="G9" s="16" t="s">
        <v>5</v>
      </c>
      <c r="H9" s="16" t="s">
        <v>5</v>
      </c>
      <c r="I9" s="16" t="s">
        <v>5</v>
      </c>
      <c r="J9" s="16" t="s">
        <v>5</v>
      </c>
      <c r="K9" s="16" t="s">
        <v>5</v>
      </c>
      <c r="L9" s="16" t="s">
        <v>5</v>
      </c>
    </row>
    <row r="10" ht="20.75" customHeight="1" spans="1:12">
      <c r="A10" s="17" t="s">
        <v>5</v>
      </c>
      <c r="B10" s="17" t="s">
        <v>5</v>
      </c>
      <c r="C10" s="17" t="s">
        <v>5</v>
      </c>
      <c r="D10" s="17" t="s">
        <v>5</v>
      </c>
      <c r="E10" s="17" t="s">
        <v>5</v>
      </c>
      <c r="F10" s="17" t="s">
        <v>5</v>
      </c>
      <c r="G10" s="17" t="s">
        <v>5</v>
      </c>
      <c r="H10" s="17" t="s">
        <v>5</v>
      </c>
      <c r="I10" s="17" t="s">
        <v>5</v>
      </c>
      <c r="J10" s="17" t="s">
        <v>5</v>
      </c>
      <c r="K10" s="17" t="s">
        <v>5</v>
      </c>
      <c r="L10" s="17" t="s">
        <v>5</v>
      </c>
    </row>
    <row r="12" spans="7:7">
      <c r="G12" s="18" t="s">
        <v>434</v>
      </c>
    </row>
  </sheetData>
  <mergeCells count="55">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10:L10"/>
    <mergeCell ref="A10:L10"/>
    <mergeCell ref="A10:L10"/>
    <mergeCell ref="A10:L10"/>
    <mergeCell ref="A10:L10"/>
    <mergeCell ref="A10:L10"/>
    <mergeCell ref="A10:L10"/>
    <mergeCell ref="A10:L10"/>
    <mergeCell ref="A10:L10"/>
    <mergeCell ref="A10:L10"/>
    <mergeCell ref="A10:L10"/>
    <mergeCell ref="A10:L10"/>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D调E点</cp:lastModifiedBy>
  <dcterms:created xsi:type="dcterms:W3CDTF">2023-09-22T08:45:00Z</dcterms:created>
  <dcterms:modified xsi:type="dcterms:W3CDTF">2024-09-26T01:04:46Z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517B76AE952C491F8C7270B5436DCD07_13</vt:lpwstr>
  </property>
  <property fmtid="{D5CDD505-2E9C-101B-9397-08002B2CF9AE}" pid="3" name="KSOProductBuildVer">
    <vt:lpwstr>2052-12.1.0.18276</vt:lpwstr>
  </property>
</Properties>
</file>