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tabRatio="940" activeTab="8"/>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政府性基金预算财政拨款收入支出决算表" sheetId="7" r:id="rId7"/>
    <sheet name="国有资本经营预算财政拨款支出决算表" sheetId="8" r:id="rId8"/>
    <sheet name="财政拨款“三公&quot;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<sst xmlns="http://schemas.openxmlformats.org/spreadsheetml/2006/main" count="1340" uniqueCount="445">
  <si>
    <t>收入支出决算总表</t>
  </si>
  <si>
    <t>公开01表</t>
  </si>
  <si>
    <t>部门：岳阳县自然资源局</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</si>
  <si>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</si>
  <si>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</si>
  <si>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</si>
  <si>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</si>
  <si>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</si>
  <si>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</si>
  <si>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</si>
  <si>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</si>
  <si>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</si>
  <si>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</si>
  <si>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</si>
  <si>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</si>
  <si>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</si>
  <si>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</si>
  <si>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</si>
  <si>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</si>
  <si>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</si>
  <si>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</si>
  <si>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</si>
  <si>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</si>
  <si>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</si>
  <si>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</si>
  <si>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</si>
  <si>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</si>
  <si>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</si>
  <si>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</si>
  <si>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</si>
  <si>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</si>
  <si>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</si>
  <si>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</si>
  <si>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</si>
  <si>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</si>
  <si>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</si>
  <si>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</si>
  <si>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</si>
  <si>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</si>
  <si>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</si>
  <si>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</si>
  <si>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</si>
  <si>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</si>
  <si>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</si>
  <si>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</si>
  <si>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</si>
  <si>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</si>
  <si>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</si>
  <si>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</si>
  <si>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</si>
  <si>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</si>
  <si>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</si>
  <si>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</si>
  <si>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</si>
  <si>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</si>
  <si>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</si>
  <si>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</si>
  <si>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</si>
  <si>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</si>
  <si>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</si>
  <si>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</si>
  <si>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</si>
  <si>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</si>
  <si>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</si>
  <si>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</si>
  <si>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</si>
  <si>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</si>
  <si>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</si>
  <si>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</si>
  <si>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</si>
  <si>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</si>
  <si>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</si>
  <si>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</si>
  <si>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</si>
  <si>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</si>
  <si>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</si>
  <si>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</si>
  <si>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</si>
  <si>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</si>
  <si>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</si>
  <si>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</si>
  <si>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</si>
  <si>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</si>
  <si>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</si>
  <si>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</si>
  <si>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</si>
  <si>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</si>
  <si>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</si>
  <si>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</si>
  <si>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</si>
  <si>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</si>
  <si>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</si>
  <si>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</si>
  <si>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</si>
  <si>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</si>
  <si>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</si>
  <si>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</si>
  <si>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</si>
  <si>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</si>
  <si>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</si>
  <si>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</si>
  <si>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</si>
  <si>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</si>
  <si>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</si>
  <si>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</si>
  <si>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</si>
  <si>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</si>
  <si>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</si>
  <si>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</si>
  <si>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</si>
  <si>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</si>
  <si>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</si>
  <si>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</si>
  <si>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</si>
  <si>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</si>
  <si>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</si>
  <si>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 1 —</t>
  </si>
  <si>
    <t>收入决算表</t>
  </si>
  <si>
    <t>公开02表</t>
  </si>
  <si>
    <t>科目名称</t>
  </si>
  <si>
    <t>财政拨款收入</t>
  </si>
  <si>
    <t>上级补助收入</t>
  </si>
  <si>
    <t>事业收入</t>
  </si>
  <si>
    <t>经营收入</t>
  </si>
  <si>
    <t>附属单位上缴收入</t>
  </si>
  <si>
    <t>其他收入</t>
  </si>
  <si>
    <t>功能分类科目编码</t>
  </si>
  <si>
    <t>小计</t>
  </si>
  <si>
    <t>款</t>
  </si>
  <si>
    <t>项</t>
  </si>
  <si>
    <t>合计</t>
  </si>
  <si>
    <t>科学技术支出</t>
  </si>
  <si>
    <t>技术研究与开发</t>
  </si>
  <si>
    <t>2060404</t>
  </si>
  <si>
    <t>科技成果转化与扩散</t>
  </si>
  <si>
    <t>208</t>
  </si>
  <si>
    <t>社会保障和就业支出</t>
  </si>
  <si>
    <t>20805</t>
  </si>
  <si>
    <t>行政事业单位养老支出</t>
  </si>
  <si>
    <t>2080505</t>
  </si>
  <si>
    <t>机关事业单位基本养老保险缴费支出</t>
  </si>
  <si>
    <t>20808</t>
  </si>
  <si>
    <t>抚恤</t>
  </si>
  <si>
    <t>2080801</t>
  </si>
  <si>
    <t>死亡抚恤</t>
  </si>
  <si>
    <t>残疾人事业</t>
  </si>
  <si>
    <t>其他残疾人事业支出</t>
  </si>
  <si>
    <t>20899</t>
  </si>
  <si>
    <t>其他社会保障和就业支出</t>
  </si>
  <si>
    <t>2089999</t>
  </si>
  <si>
    <t>210</t>
  </si>
  <si>
    <t>卫生健康支出</t>
  </si>
  <si>
    <t>21011</t>
  </si>
  <si>
    <t>行政事业单位医疗</t>
  </si>
  <si>
    <t>2101101</t>
  </si>
  <si>
    <t>行政单位医疗</t>
  </si>
  <si>
    <t>公务员医疗补助</t>
  </si>
  <si>
    <t>节能环保支出</t>
  </si>
  <si>
    <t>自然生态保护</t>
  </si>
  <si>
    <t>2110401</t>
  </si>
  <si>
    <t>生态保护</t>
  </si>
  <si>
    <t>212</t>
  </si>
  <si>
    <t>城乡社区支出</t>
  </si>
  <si>
    <t>城乡社区管理事务</t>
  </si>
  <si>
    <t>2120199</t>
  </si>
  <si>
    <t>其他城乡社区管理事务支出</t>
  </si>
  <si>
    <t>21208</t>
  </si>
  <si>
    <t>国有土地使用权出让收入安排的支出</t>
  </si>
  <si>
    <t>2120801</t>
  </si>
  <si>
    <t>征地和拆迁补偿支出</t>
  </si>
  <si>
    <t>2120899</t>
  </si>
  <si>
    <t>其他国有土地使用权出让收入安排的支出</t>
  </si>
  <si>
    <t>农林水支出</t>
  </si>
  <si>
    <t>农业农村</t>
  </si>
  <si>
    <t>2130199</t>
  </si>
  <si>
    <t>其他农业农村支出</t>
  </si>
  <si>
    <t>220</t>
  </si>
  <si>
    <t>自然资源海洋气象等支出</t>
  </si>
  <si>
    <t>22001</t>
  </si>
  <si>
    <t>自然资源事务</t>
  </si>
  <si>
    <t>2200101</t>
  </si>
  <si>
    <t>行政运行</t>
  </si>
  <si>
    <t>2200104</t>
  </si>
  <si>
    <t>自然资源规划及管理</t>
  </si>
  <si>
    <t>2200106</t>
  </si>
  <si>
    <t>自然资源利用与保护</t>
  </si>
  <si>
    <t>2200109</t>
  </si>
  <si>
    <t>自然资源调查与确权登记</t>
  </si>
  <si>
    <t>2200114</t>
  </si>
  <si>
    <t>地质勘查与矿产资源管理</t>
  </si>
  <si>
    <t>2200129</t>
  </si>
  <si>
    <t>基础测绘与地理信息监管</t>
  </si>
  <si>
    <t>2200199</t>
  </si>
  <si>
    <t>其他自然资源事务支出</t>
  </si>
  <si>
    <t>221</t>
  </si>
  <si>
    <t>住房保障支出</t>
  </si>
  <si>
    <t>22102</t>
  </si>
  <si>
    <t>住房改革支出</t>
  </si>
  <si>
    <t>2210201</t>
  </si>
  <si>
    <t>住房公积金</t>
  </si>
  <si>
    <t>224</t>
  </si>
  <si>
    <t>灾害防治及应急管理支出</t>
  </si>
  <si>
    <t>22406</t>
  </si>
  <si>
    <t>自然灾害防治</t>
  </si>
  <si>
    <t>2240601</t>
  </si>
  <si>
    <t>地质灾害防治</t>
  </si>
  <si>
    <t>229</t>
  </si>
  <si>
    <t>其他支出</t>
  </si>
  <si>
    <t>其他政府性基金及对应专项债务收入安排的支出</t>
  </si>
  <si>
    <t>其他政府性基金安排的支出</t>
  </si>
  <si>
    <t>22999</t>
  </si>
  <si>
    <t>2299999</t>
  </si>
  <si>
    <t>注：本表反映部门本年度取得的各项收入情况。</t>
  </si>
  <si>
    <t>—2.%d —</t>
  </si>
  <si>
    <t>支出决算表</t>
  </si>
  <si>
    <t>公开03表</t>
  </si>
  <si>
    <t>基本支出</t>
  </si>
  <si>
    <t>项目支出</t>
  </si>
  <si>
    <t>上缴上级支出</t>
  </si>
  <si>
    <t>经营支出</t>
  </si>
  <si>
    <t>对附属单位补助支出</t>
  </si>
  <si>
    <t>注：本表反映部门本年度各项支出情况。</t>
  </si>
  <si>
    <t>— 3.%d —</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</si>
  <si>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</si>
  <si>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</si>
  <si>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</si>
  <si>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</si>
  <si>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</si>
  <si>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</si>
  <si>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</si>
  <si>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</si>
  <si>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</si>
  <si>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</si>
  <si>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</si>
  <si>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</si>
  <si>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</si>
  <si>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</si>
  <si>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</si>
  <si>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</si>
  <si>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</si>
  <si>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</si>
  <si>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 xml:space="preserve">    2.本表以“万元”为金额单位（保留两位小数）。</t>
  </si>
  <si>
    <t>— 4 —</t>
  </si>
  <si>
    <t>一般公共预算财政拨款支出决算表</t>
  </si>
  <si>
    <t>公开05表</t>
  </si>
  <si>
    <t>本年支出</t>
  </si>
  <si>
    <t>注：本表反映部门本年度一般公共预算财政拨款支出情况。</t>
  </si>
  <si>
    <t>— 5.%d —</t>
  </si>
  <si>
    <t>一般公共预算财政拨款基本支出决算表</t>
  </si>
  <si>
    <t>公开06表</t>
  </si>
  <si>
    <t>人员经费</t>
  </si>
  <si>
    <t>公用经费</t>
  </si>
  <si>
    <t>经济分类科目编码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</si>
  <si>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</si>
  <si>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</si>
  <si>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</si>
  <si>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</si>
  <si>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</si>
  <si>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</si>
  <si>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</si>
  <si>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</si>
  <si>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</si>
  <si>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</si>
  <si>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</si>
  <si>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</si>
  <si>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</si>
  <si>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</si>
  <si>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</si>
  <si>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</si>
  <si>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</si>
  <si>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</si>
  <si>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</si>
  <si>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</si>
  <si>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</si>
  <si>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</si>
  <si>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</si>
  <si>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</si>
  <si>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</si>
  <si>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</si>
  <si>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</si>
  <si>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</si>
  <si>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</si>
  <si>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</si>
  <si>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</si>
  <si>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</si>
  <si>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</si>
  <si>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</si>
  <si>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</si>
  <si>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</si>
  <si>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</si>
  <si>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</si>
  <si>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</si>
  <si>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</si>
  <si>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</si>
  <si>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</si>
  <si>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</si>
  <si>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</si>
  <si>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</si>
  <si>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</si>
  <si>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</si>
  <si>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</si>
  <si>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</si>
  <si>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</si>
  <si>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</si>
  <si>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</si>
  <si>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</si>
  <si>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</si>
  <si>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</si>
  <si>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</si>
  <si>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</si>
  <si>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</si>
  <si>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</si>
  <si>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</si>
  <si>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</si>
  <si>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</si>
  <si>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</si>
  <si>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</si>
  <si>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</si>
  <si>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</si>
  <si>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</si>
  <si>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</si>
  <si>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</si>
  <si>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</si>
  <si>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</si>
  <si>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</si>
  <si>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</si>
  <si>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</si>
  <si>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</si>
  <si>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</si>
  <si>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</si>
  <si>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</si>
  <si>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</si>
  <si>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</si>
  <si>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</si>
  <si>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</si>
  <si>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</si>
  <si>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</si>
  <si>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</si>
  <si>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</si>
  <si>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</si>
  <si>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</si>
  <si>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</si>
  <si>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</si>
  <si>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</si>
  <si>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</si>
  <si>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</si>
  <si>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</si>
  <si>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</si>
  <si>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</si>
  <si>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</si>
  <si>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</si>
  <si>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</si>
  <si>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</si>
  <si>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</si>
  <si>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</si>
  <si>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</si>
  <si>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</si>
  <si>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</si>
  <si>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</si>
  <si>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</si>
  <si>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</si>
  <si>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</si>
  <si>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</si>
  <si>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</si>
  <si>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</si>
  <si>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</si>
  <si>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</si>
  <si>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</si>
  <si>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</si>
  <si>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</si>
  <si>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</si>
  <si>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</si>
  <si>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</si>
  <si>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</si>
  <si>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</si>
  <si>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</si>
  <si>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</si>
  <si>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</si>
  <si>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</si>
  <si>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</si>
  <si>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</si>
  <si>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</si>
  <si>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</si>
  <si>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</si>
  <si>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</si>
  <si>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</si>
  <si>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</si>
  <si>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</si>
  <si>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</si>
  <si>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</si>
  <si>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</si>
  <si>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</si>
  <si>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</si>
  <si>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</si>
  <si>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</si>
  <si>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</si>
  <si>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</si>
  <si>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</si>
  <si>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</si>
  <si>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</si>
  <si>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</si>
  <si>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</si>
  <si>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</si>
  <si>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</si>
  <si>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</si>
  <si>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</si>
  <si>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</si>
  <si>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</si>
  <si>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</si>
  <si>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</si>
  <si>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</si>
  <si>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</si>
  <si>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</si>
  <si>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</si>
  <si>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</si>
  <si>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</si>
  <si>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</si>
  <si>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</si>
  <si>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</si>
  <si>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</si>
  <si>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</si>
  <si>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项     目</t>
  </si>
  <si>
    <t>本年收入</t>
  </si>
  <si>
    <t>栏  次</t>
  </si>
  <si>
    <t>合  计</t>
  </si>
  <si>
    <t>注：本表反映部门本年度政府性基金预算财政拨款收入、支出及结转和结余情况。</t>
  </si>
  <si>
    <t>国有资本经营预算财政拨款支出决算表</t>
  </si>
  <si>
    <t>公开08表</t>
  </si>
  <si>
    <t>223</t>
  </si>
  <si>
    <t>国有资本经营预算支出</t>
  </si>
  <si>
    <t>22399</t>
  </si>
  <si>
    <t>其他国有资本经营预算支出</t>
  </si>
  <si>
    <t>2239999</t>
  </si>
  <si>
    <t>注：本表反映部门本年度国有资本经营预算财政拨款收入、支出及结转和结余情况。</t>
  </si>
  <si>
    <t>— 8.%d —</t>
  </si>
  <si>
    <t>财政拨款“三公"经费支出决算表</t>
  </si>
  <si>
    <t>公开09表</t>
  </si>
  <si>
    <t>预算数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</si>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</sst>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_);_(\$* \(#,##0\);_(\$* &quot;-&quot;_);_(@_)"/>
    <numFmt numFmtId="177" formatCode="_(\$* #,##0.00_);_(\$* \(#,##0.00\);_(\$* &quot;-&quot;??_);_(@_)"/>
    <numFmt numFmtId="178" formatCode="_(* #,##0.00_);_(* \(#,##0.00\);_(* &quot;-&quot;??_);_(@_)"/>
    <numFmt numFmtId="179" formatCode="#,##0.00_ "/>
  </numFmts>
  <fonts count="57">
    <font>
      <sz val="10"/>
      <color indexed="8"/>
      <name val="Arial"/>
      <charset val="0"/>
    </font>
    <font>
      <sz val="9"/>
      <color indexed="8"/>
      <name val="宋体"/>
      <charset val="134"/>
      <scheme val="minor"/>
    </font>
    <font>
      <b/>
      <sz val="9"/>
      <color indexed="8"/>
      <name val="宋体"/>
      <charset val="134"/>
      <scheme val="minor"/>
    </font>
    <font>
      <b/>
      <sz val="12"/>
      <color indexed="8"/>
      <name val="宋体"/>
      <charset val="134"/>
    </font>
    <font>
      <b/>
      <sz val="12"/>
      <color indexed="8"/>
      <name val="Arial"/>
      <charset val="0"/>
    </font>
    <font>
      <sz val="9"/>
      <color rgb="FF000000"/>
      <name val="宋体"/>
      <charset val="134"/>
    </font>
    <font>
      <sz val="10"/>
      <color indexed="8"/>
      <name val="宋体"/>
      <charset val="134"/>
    </font>
    <font>
      <sz val="9"/>
      <color indexed="8"/>
      <name val="宋体"/>
      <charset val="134"/>
    </font>
    <font>
      <b/>
      <sz val="11"/>
      <color indexed="8"/>
      <name val="宋体"/>
      <charset val="134"/>
      <scheme val="minor"/>
    </font>
    <font>
      <sz val="11"/>
      <color indexed="8"/>
      <name val="宋体"/>
      <charset val="134"/>
      <scheme val="minor"/>
    </font>
    <font>
      <b/>
      <sz val="10"/>
      <color indexed="8"/>
      <name val="Arial"/>
      <charset val="0"/>
    </font>
    <font>
      <b/>
      <sz val="9"/>
      <color rgb="FF000000"/>
      <name val="宋体"/>
      <charset val="134"/>
    </font>
    <font>
      <sz val="11"/>
      <color indexed="8"/>
      <name val="宋体"/>
      <charset val="134"/>
    </font>
    <font>
      <sz val="9"/>
      <name val="宋体"/>
      <charset val="134"/>
      <scheme val="minor"/>
    </font>
    <font>
      <b/>
      <sz val="12"/>
      <name val="宋体"/>
      <charset val="134"/>
    </font>
    <font>
      <b/>
      <sz val="12"/>
      <name val="Arial"/>
      <charset val="0"/>
    </font>
    <font>
      <sz val="10"/>
      <name val="Arial"/>
      <charset val="0"/>
    </font>
    <font>
      <b/>
      <sz val="9"/>
      <name val="宋体"/>
      <charset val="134"/>
      <scheme val="minor"/>
    </font>
    <font>
      <b/>
      <sz val="9"/>
      <name val="宋体"/>
      <charset val="134"/>
    </font>
    <font>
      <sz val="9"/>
      <name val="宋体"/>
      <charset val="134"/>
    </font>
    <font>
      <sz val="10"/>
      <name val="宋体"/>
      <charset val="134"/>
    </font>
    <font>
      <sz val="9"/>
      <name val="Arial"/>
      <charset val="0"/>
    </font>
    <font>
      <b/>
      <sz val="9"/>
      <name val="Arial"/>
      <charset val="0"/>
    </font>
    <font>
      <sz val="10"/>
      <color theme="1"/>
      <name val="Arial"/>
      <charset val="0"/>
    </font>
    <font>
      <sz val="9"/>
      <color theme="1"/>
      <name val="宋体"/>
      <charset val="134"/>
      <scheme val="minor"/>
    </font>
    <font>
      <b/>
      <sz val="9"/>
      <color theme="1"/>
      <name val="宋体"/>
      <charset val="134"/>
      <scheme val="minor"/>
    </font>
    <font>
      <b/>
      <sz val="12"/>
      <color theme="1"/>
      <name val="宋体"/>
      <charset val="134"/>
    </font>
    <font>
      <b/>
      <sz val="12"/>
      <color theme="1"/>
      <name val="Arial"/>
      <charset val="0"/>
    </font>
    <font>
      <b/>
      <sz val="9"/>
      <color theme="1"/>
      <name val="Arial"/>
      <charset val="0"/>
    </font>
    <font>
      <b/>
      <sz val="9"/>
      <color theme="1"/>
      <name val="宋体"/>
      <charset val="134"/>
    </font>
    <font>
      <sz val="9"/>
      <color theme="1"/>
      <name val="宋体"/>
      <charset val="134"/>
    </font>
    <font>
      <sz val="9"/>
      <color theme="1"/>
      <name val="Arial"/>
      <charset val="0"/>
    </font>
    <font>
      <sz val="10"/>
      <color theme="1"/>
      <name val="宋体"/>
      <charset val="134"/>
    </font>
    <font>
      <sz val="9"/>
      <color indexed="8"/>
      <name val="宋体"/>
      <charset val="134"/>
      <scheme val="major"/>
    </font>
    <font>
      <b/>
      <sz val="9"/>
      <color indexed="8"/>
      <name val="宋体"/>
      <charset val="134"/>
      <scheme val="major"/>
    </font>
    <font>
      <sz val="9"/>
      <name val="宋体"/>
      <charset val="134"/>
      <scheme val="major"/>
    </font>
    <font>
      <sz val="9"/>
      <color rgb="FF000000"/>
      <name val="宋体"/>
      <charset val="134"/>
      <scheme val="major"/>
    </font>
    <font>
      <b/>
      <sz val="9"/>
      <color rgb="FF000000"/>
      <name val="宋体"/>
      <charset val="134"/>
      <scheme val="maj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auto="1"/>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auto="1"/>
      </right>
      <top style="thin">
        <color auto="1"/>
      </top>
      <bottom style="thin">
        <color indexed="8"/>
      </bottom>
      <diagonal/>
    </border>
    <border>
      <left/>
      <right style="thin">
        <color indexed="8"/>
      </right>
      <top/>
      <bottom style="medium">
        <color indexed="8"/>
      </bottom>
      <diagonal/>
    </border>
    <border>
      <left/>
      <right style="thin">
        <color indexed="8"/>
      </right>
      <top/>
      <bottom/>
      <diagonal/>
    </border>
    <border>
      <left style="thin">
        <color indexed="8"/>
      </left>
      <right style="thin">
        <color indexed="8"/>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45" fontId="0" fillId="0" borderId="0"/>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9" fillId="2" borderId="25"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6" applyNumberFormat="0" applyFill="0" applyAlignment="0" applyProtection="0">
      <alignment vertical="center"/>
    </xf>
    <xf numFmtId="0" fontId="44" fillId="0" borderId="26" applyNumberFormat="0" applyFill="0" applyAlignment="0" applyProtection="0">
      <alignment vertical="center"/>
    </xf>
    <xf numFmtId="0" fontId="45" fillId="0" borderId="27" applyNumberFormat="0" applyFill="0" applyAlignment="0" applyProtection="0">
      <alignment vertical="center"/>
    </xf>
    <xf numFmtId="0" fontId="45" fillId="0" borderId="0" applyNumberFormat="0" applyFill="0" applyBorder="0" applyAlignment="0" applyProtection="0">
      <alignment vertical="center"/>
    </xf>
    <xf numFmtId="0" fontId="46" fillId="3" borderId="28" applyNumberFormat="0" applyAlignment="0" applyProtection="0">
      <alignment vertical="center"/>
    </xf>
    <xf numFmtId="0" fontId="47" fillId="4" borderId="29" applyNumberFormat="0" applyAlignment="0" applyProtection="0">
      <alignment vertical="center"/>
    </xf>
    <xf numFmtId="0" fontId="48" fillId="4" borderId="28" applyNumberFormat="0" applyAlignment="0" applyProtection="0">
      <alignment vertical="center"/>
    </xf>
    <xf numFmtId="0" fontId="49" fillId="5" borderId="30" applyNumberFormat="0" applyAlignment="0" applyProtection="0">
      <alignment vertical="center"/>
    </xf>
    <xf numFmtId="0" fontId="50" fillId="0" borderId="31" applyNumberFormat="0" applyFill="0" applyAlignment="0" applyProtection="0">
      <alignment vertical="center"/>
    </xf>
    <xf numFmtId="0" fontId="51" fillId="0" borderId="32" applyNumberFormat="0" applyFill="0" applyAlignment="0" applyProtection="0">
      <alignment vertical="center"/>
    </xf>
    <xf numFmtId="0" fontId="52" fillId="6" borderId="0" applyNumberFormat="0" applyBorder="0" applyAlignment="0" applyProtection="0">
      <alignment vertical="center"/>
    </xf>
    <xf numFmtId="0" fontId="53" fillId="7" borderId="0" applyNumberFormat="0" applyBorder="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6" fillId="11" borderId="0" applyNumberFormat="0" applyBorder="0" applyAlignment="0" applyProtection="0">
      <alignment vertical="center"/>
    </xf>
    <xf numFmtId="0" fontId="55" fillId="12" borderId="0" applyNumberFormat="0" applyBorder="0" applyAlignment="0" applyProtection="0">
      <alignment vertical="center"/>
    </xf>
    <xf numFmtId="0" fontId="55" fillId="13" borderId="0" applyNumberFormat="0" applyBorder="0" applyAlignment="0" applyProtection="0">
      <alignment vertical="center"/>
    </xf>
    <xf numFmtId="0" fontId="56" fillId="14" borderId="0" applyNumberFormat="0" applyBorder="0" applyAlignment="0" applyProtection="0">
      <alignment vertical="center"/>
    </xf>
    <xf numFmtId="0" fontId="56" fillId="15" borderId="0" applyNumberFormat="0" applyBorder="0" applyAlignment="0" applyProtection="0">
      <alignment vertical="center"/>
    </xf>
    <xf numFmtId="0" fontId="55" fillId="16" borderId="0" applyNumberFormat="0" applyBorder="0" applyAlignment="0" applyProtection="0">
      <alignment vertical="center"/>
    </xf>
    <xf numFmtId="0" fontId="55" fillId="17" borderId="0" applyNumberFormat="0" applyBorder="0" applyAlignment="0" applyProtection="0">
      <alignment vertical="center"/>
    </xf>
    <xf numFmtId="0" fontId="56" fillId="18" borderId="0" applyNumberFormat="0" applyBorder="0" applyAlignment="0" applyProtection="0">
      <alignment vertical="center"/>
    </xf>
    <xf numFmtId="0" fontId="56" fillId="19" borderId="0" applyNumberFormat="0" applyBorder="0" applyAlignment="0" applyProtection="0">
      <alignment vertical="center"/>
    </xf>
    <xf numFmtId="0" fontId="55" fillId="20" borderId="0" applyNumberFormat="0" applyBorder="0" applyAlignment="0" applyProtection="0">
      <alignment vertical="center"/>
    </xf>
    <xf numFmtId="0" fontId="55" fillId="21" borderId="0" applyNumberFormat="0" applyBorder="0" applyAlignment="0" applyProtection="0">
      <alignment vertical="center"/>
    </xf>
    <xf numFmtId="0" fontId="56" fillId="22" borderId="0" applyNumberFormat="0" applyBorder="0" applyAlignment="0" applyProtection="0">
      <alignment vertical="center"/>
    </xf>
    <xf numFmtId="0" fontId="56" fillId="23" borderId="0" applyNumberFormat="0" applyBorder="0" applyAlignment="0" applyProtection="0">
      <alignment vertical="center"/>
    </xf>
    <xf numFmtId="0" fontId="55" fillId="24" borderId="0" applyNumberFormat="0" applyBorder="0" applyAlignment="0" applyProtection="0">
      <alignment vertical="center"/>
    </xf>
    <xf numFmtId="0" fontId="55" fillId="25" borderId="0" applyNumberFormat="0" applyBorder="0" applyAlignment="0" applyProtection="0">
      <alignment vertical="center"/>
    </xf>
    <xf numFmtId="0" fontId="56" fillId="26" borderId="0" applyNumberFormat="0" applyBorder="0" applyAlignment="0" applyProtection="0">
      <alignment vertical="center"/>
    </xf>
    <xf numFmtId="0" fontId="56" fillId="27" borderId="0" applyNumberFormat="0" applyBorder="0" applyAlignment="0" applyProtection="0">
      <alignment vertical="center"/>
    </xf>
    <xf numFmtId="0" fontId="55" fillId="28" borderId="0" applyNumberFormat="0" applyBorder="0" applyAlignment="0" applyProtection="0">
      <alignment vertical="center"/>
    </xf>
    <xf numFmtId="0" fontId="55" fillId="29" borderId="0" applyNumberFormat="0" applyBorder="0" applyAlignment="0" applyProtection="0">
      <alignment vertical="center"/>
    </xf>
    <xf numFmtId="0" fontId="56" fillId="30" borderId="0" applyNumberFormat="0" applyBorder="0" applyAlignment="0" applyProtection="0">
      <alignment vertical="center"/>
    </xf>
    <xf numFmtId="0" fontId="56" fillId="31" borderId="0" applyNumberFormat="0" applyBorder="0" applyAlignment="0" applyProtection="0">
      <alignment vertical="center"/>
    </xf>
    <xf numFmtId="0" fontId="55" fillId="32" borderId="0" applyNumberFormat="0" applyBorder="0" applyAlignment="0" applyProtection="0">
      <alignment vertical="center"/>
    </xf>
  </cellStyleXfs>
  <cellXfs count="235">
    <xf numFmtId="0" fontId="0" fillId="0" borderId="0" xfId="0"/>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Border="1" applyAlignment="1">
      <alignment vertical="center"/>
    </xf>
    <xf numFmtId="0" fontId="0" fillId="0" borderId="0" xfId="0" applyFill="1"/>
    <xf numFmtId="0" fontId="3" fillId="0" borderId="0" xfId="0" applyFont="1" applyFill="1" applyAlignment="1">
      <alignment horizontal="center" vertical="center"/>
    </xf>
    <xf numFmtId="0" fontId="4" fillId="0" borderId="0" xfId="0" applyFont="1" applyFill="1" applyAlignment="1">
      <alignment vertical="center"/>
    </xf>
    <xf numFmtId="0" fontId="1" fillId="0" borderId="0" xfId="0" applyFont="1" applyFill="1" applyAlignment="1">
      <alignment horizontal="right" vertical="center"/>
    </xf>
    <xf numFmtId="0" fontId="2" fillId="0" borderId="1" xfId="0" applyFont="1" applyFill="1" applyBorder="1" applyAlignment="1">
      <alignment horizontal="center" vertical="center" shrinkToFit="1"/>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0" fontId="2" fillId="0" borderId="4" xfId="0" applyFont="1" applyFill="1" applyBorder="1" applyAlignment="1">
      <alignment horizontal="center" vertical="center" shrinkToFi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9" fontId="5" fillId="0" borderId="5" xfId="0" applyNumberFormat="1" applyFont="1" applyFill="1" applyBorder="1" applyAlignment="1">
      <alignment horizontal="right" vertical="center"/>
    </xf>
    <xf numFmtId="0" fontId="1" fillId="0" borderId="0" xfId="0" applyFont="1" applyFill="1" applyAlignment="1">
      <alignment horizontal="left" vertical="center" wrapText="1" shrinkToFit="1"/>
    </xf>
    <xf numFmtId="0" fontId="6" fillId="0" borderId="0" xfId="0" applyFont="1" applyFill="1" applyAlignment="1">
      <alignment horizontal="left" vertical="center" wrapText="1" shrinkToFit="1"/>
    </xf>
    <xf numFmtId="0" fontId="7" fillId="0" borderId="0" xfId="0" applyFont="1" applyFill="1" applyAlignment="1">
      <alignment horizontal="center"/>
    </xf>
    <xf numFmtId="0" fontId="8" fillId="0" borderId="0" xfId="0" applyFont="1" applyFill="1" applyBorder="1" applyAlignment="1">
      <alignment vertical="center"/>
    </xf>
    <xf numFmtId="0" fontId="9" fillId="0" borderId="0" xfId="0" applyFont="1" applyFill="1" applyBorder="1" applyAlignment="1">
      <alignment vertical="center"/>
    </xf>
    <xf numFmtId="0" fontId="2" fillId="0" borderId="1" xfId="0" applyFont="1" applyFill="1" applyBorder="1" applyAlignment="1">
      <alignment horizontal="center" vertical="center" wrapText="1" shrinkToFit="1"/>
    </xf>
    <xf numFmtId="0" fontId="2" fillId="0" borderId="2" xfId="0" applyFont="1" applyFill="1" applyBorder="1" applyAlignment="1">
      <alignment horizontal="center" vertical="center" wrapText="1" shrinkToFit="1"/>
    </xf>
    <xf numFmtId="0" fontId="10" fillId="0" borderId="0" xfId="0" applyFont="1" applyFill="1"/>
    <xf numFmtId="0" fontId="2" fillId="0" borderId="6" xfId="0" applyFont="1" applyFill="1" applyBorder="1" applyAlignment="1">
      <alignment horizontal="center" vertical="center" wrapText="1" shrinkToFit="1"/>
    </xf>
    <xf numFmtId="179" fontId="11" fillId="0" borderId="6" xfId="0" applyNumberFormat="1" applyFont="1" applyFill="1" applyBorder="1" applyAlignment="1">
      <alignment horizontal="right" vertical="center"/>
    </xf>
    <xf numFmtId="0" fontId="11" fillId="0" borderId="7" xfId="0" applyNumberFormat="1" applyFont="1" applyFill="1" applyBorder="1" applyAlignment="1">
      <alignment horizontal="left" vertical="center"/>
    </xf>
    <xf numFmtId="179" fontId="11" fillId="0" borderId="7" xfId="0" applyNumberFormat="1" applyFont="1" applyFill="1" applyBorder="1" applyAlignment="1">
      <alignment horizontal="right" vertical="center"/>
    </xf>
    <xf numFmtId="0" fontId="5" fillId="0" borderId="7" xfId="0" applyNumberFormat="1" applyFont="1" applyFill="1" applyBorder="1" applyAlignment="1">
      <alignment horizontal="left" vertical="center"/>
    </xf>
    <xf numFmtId="179" fontId="5" fillId="0" borderId="6" xfId="0" applyNumberFormat="1" applyFont="1" applyFill="1" applyBorder="1" applyAlignment="1">
      <alignment horizontal="right" vertical="center"/>
    </xf>
    <xf numFmtId="179" fontId="5" fillId="0" borderId="7" xfId="0" applyNumberFormat="1" applyFont="1" applyFill="1" applyBorder="1" applyAlignment="1">
      <alignment horizontal="right" vertical="center"/>
    </xf>
    <xf numFmtId="0" fontId="1" fillId="0" borderId="7" xfId="0" applyFont="1" applyFill="1" applyBorder="1" applyAlignment="1">
      <alignment horizontal="left" vertical="center" shrinkToFit="1"/>
    </xf>
    <xf numFmtId="179" fontId="1" fillId="0" borderId="7" xfId="0" applyNumberFormat="1" applyFont="1" applyFill="1" applyBorder="1" applyAlignment="1">
      <alignment horizontal="right" vertical="center" shrinkToFit="1"/>
    </xf>
    <xf numFmtId="0" fontId="1" fillId="0" borderId="8" xfId="0" applyFont="1" applyFill="1" applyBorder="1" applyAlignment="1">
      <alignment horizontal="left" vertical="center" shrinkToFit="1"/>
    </xf>
    <xf numFmtId="179" fontId="1" fillId="0" borderId="8" xfId="0" applyNumberFormat="1" applyFont="1" applyFill="1" applyBorder="1" applyAlignment="1">
      <alignment horizontal="right" vertical="center" shrinkToFit="1"/>
    </xf>
    <xf numFmtId="0" fontId="1" fillId="0" borderId="3" xfId="0" applyFont="1" applyFill="1" applyBorder="1" applyAlignment="1">
      <alignment horizontal="left" vertical="center" shrinkToFit="1"/>
    </xf>
    <xf numFmtId="0" fontId="1" fillId="0" borderId="4" xfId="0" applyFont="1" applyFill="1" applyBorder="1" applyAlignment="1">
      <alignment horizontal="left" vertical="center" shrinkToFit="1"/>
    </xf>
    <xf numFmtId="179" fontId="1" fillId="0" borderId="4" xfId="0" applyNumberFormat="1" applyFont="1" applyFill="1" applyBorder="1" applyAlignment="1">
      <alignment horizontal="right" vertical="center" shrinkToFit="1"/>
    </xf>
    <xf numFmtId="0" fontId="1" fillId="0" borderId="0" xfId="0" applyFont="1" applyFill="1" applyAlignment="1">
      <alignment horizontal="left" vertical="center" shrinkToFit="1"/>
    </xf>
    <xf numFmtId="0" fontId="12" fillId="0" borderId="0" xfId="0" applyFont="1" applyFill="1" applyAlignment="1">
      <alignment horizontal="left" vertical="center" shrinkToFit="1"/>
    </xf>
    <xf numFmtId="0" fontId="6" fillId="0" borderId="0" xfId="0" applyFont="1" applyFill="1" applyAlignment="1">
      <alignment horizontal="left" vertical="center" shrinkToFit="1"/>
    </xf>
    <xf numFmtId="0" fontId="6" fillId="0" borderId="0" xfId="0" applyFont="1" applyFill="1" applyAlignment="1">
      <alignment horizontal="center"/>
    </xf>
    <xf numFmtId="0" fontId="2" fillId="0" borderId="6" xfId="0" applyFont="1" applyFill="1" applyBorder="1" applyAlignment="1">
      <alignment horizontal="center" vertical="center" shrinkToFit="1"/>
    </xf>
    <xf numFmtId="0" fontId="2" fillId="0" borderId="7" xfId="0" applyFont="1" applyFill="1" applyBorder="1" applyAlignment="1">
      <alignment horizontal="center" vertical="center" wrapText="1" shrinkToFit="1"/>
    </xf>
    <xf numFmtId="0" fontId="5" fillId="0" borderId="9" xfId="0" applyNumberFormat="1" applyFont="1" applyFill="1" applyBorder="1" applyAlignment="1">
      <alignment horizontal="left" vertical="center"/>
    </xf>
    <xf numFmtId="179" fontId="5" fillId="0" borderId="9" xfId="0" applyNumberFormat="1" applyFont="1" applyFill="1" applyBorder="1" applyAlignment="1">
      <alignment horizontal="right" vertical="center"/>
    </xf>
    <xf numFmtId="0" fontId="2" fillId="0" borderId="7" xfId="0" applyFont="1" applyFill="1" applyBorder="1" applyAlignment="1">
      <alignment horizontal="left" vertical="center" shrinkToFit="1"/>
    </xf>
    <xf numFmtId="179" fontId="11" fillId="0" borderId="9" xfId="0" applyNumberFormat="1" applyFont="1" applyFill="1" applyBorder="1" applyAlignment="1">
      <alignment horizontal="right" vertical="center"/>
    </xf>
    <xf numFmtId="0" fontId="13" fillId="0" borderId="0" xfId="0" applyFont="1" applyFill="1" applyAlignment="1">
      <alignment vertical="center"/>
    </xf>
    <xf numFmtId="0" fontId="14" fillId="0" borderId="0" xfId="0" applyFont="1" applyFill="1" applyAlignment="1">
      <alignment horizontal="center" vertical="center"/>
    </xf>
    <xf numFmtId="0" fontId="15" fillId="0" borderId="0" xfId="0" applyFont="1" applyFill="1" applyAlignment="1">
      <alignment vertical="center"/>
    </xf>
    <xf numFmtId="0" fontId="16" fillId="0" borderId="0" xfId="0" applyFont="1" applyFill="1" applyAlignment="1">
      <alignment vertical="center"/>
    </xf>
    <xf numFmtId="0" fontId="13" fillId="0" borderId="0" xfId="0" applyFont="1" applyFill="1" applyAlignment="1">
      <alignment horizontal="right" vertical="center"/>
    </xf>
    <xf numFmtId="0" fontId="17" fillId="0" borderId="1" xfId="0" applyFont="1" applyFill="1" applyBorder="1" applyAlignment="1">
      <alignment horizontal="center" vertical="center" shrinkToFit="1"/>
    </xf>
    <xf numFmtId="0" fontId="17" fillId="0" borderId="2" xfId="0" applyFont="1" applyFill="1" applyBorder="1" applyAlignment="1">
      <alignment horizontal="center" vertical="center" shrinkToFit="1"/>
    </xf>
    <xf numFmtId="0" fontId="17" fillId="0" borderId="0" xfId="0" applyFont="1" applyFill="1" applyAlignment="1">
      <alignment vertical="center"/>
    </xf>
    <xf numFmtId="0" fontId="17" fillId="0" borderId="3" xfId="0" applyFont="1" applyFill="1" applyBorder="1" applyAlignment="1">
      <alignment horizontal="center" vertical="center" wrapText="1" shrinkToFit="1"/>
    </xf>
    <xf numFmtId="0" fontId="17" fillId="0" borderId="4" xfId="0" applyFont="1" applyFill="1" applyBorder="1" applyAlignment="1">
      <alignment horizontal="center" vertical="center" wrapText="1" shrinkToFit="1"/>
    </xf>
    <xf numFmtId="0" fontId="17" fillId="0" borderId="3" xfId="0" applyFont="1" applyFill="1" applyBorder="1" applyAlignment="1">
      <alignment horizontal="left" vertical="center" shrinkToFit="1"/>
    </xf>
    <xf numFmtId="0" fontId="17" fillId="0" borderId="4" xfId="0" applyFont="1" applyFill="1" applyBorder="1" applyAlignment="1">
      <alignment horizontal="left" vertical="center" shrinkToFit="1"/>
    </xf>
    <xf numFmtId="179" fontId="17" fillId="0" borderId="4" xfId="0" applyNumberFormat="1" applyFont="1" applyFill="1" applyBorder="1" applyAlignment="1">
      <alignment horizontal="right" vertical="center" shrinkToFit="1"/>
    </xf>
    <xf numFmtId="0" fontId="13" fillId="0" borderId="4" xfId="0" applyFont="1" applyFill="1" applyBorder="1" applyAlignment="1">
      <alignment horizontal="left" vertical="center" shrinkToFit="1"/>
    </xf>
    <xf numFmtId="0" fontId="13" fillId="0" borderId="3" xfId="0" applyFont="1" applyFill="1" applyBorder="1" applyAlignment="1">
      <alignment horizontal="left" vertical="center" shrinkToFit="1"/>
    </xf>
    <xf numFmtId="179" fontId="13" fillId="0" borderId="4" xfId="0" applyNumberFormat="1" applyFont="1" applyFill="1" applyBorder="1" applyAlignment="1">
      <alignment horizontal="right" vertical="center" shrinkToFit="1"/>
    </xf>
    <xf numFmtId="0" fontId="17" fillId="0" borderId="3" xfId="0" applyFont="1" applyFill="1" applyBorder="1" applyAlignment="1">
      <alignment horizontal="center" vertical="center" shrinkToFit="1"/>
    </xf>
    <xf numFmtId="0" fontId="17" fillId="0" borderId="4" xfId="0" applyFont="1" applyFill="1" applyBorder="1" applyAlignment="1">
      <alignment horizontal="center" vertical="center" shrinkToFit="1"/>
    </xf>
    <xf numFmtId="0" fontId="13" fillId="0" borderId="0" xfId="0" applyFont="1" applyFill="1" applyAlignment="1">
      <alignment horizontal="left" vertical="center" shrinkToFit="1"/>
    </xf>
    <xf numFmtId="0" fontId="16" fillId="0" borderId="0" xfId="0" applyFont="1" applyFill="1"/>
    <xf numFmtId="0" fontId="17" fillId="0" borderId="1" xfId="0" applyFont="1" applyFill="1" applyBorder="1" applyAlignment="1">
      <alignment horizontal="center" vertical="center" wrapText="1" shrinkToFit="1"/>
    </xf>
    <xf numFmtId="0" fontId="17" fillId="0" borderId="2" xfId="0" applyFont="1" applyFill="1" applyBorder="1" applyAlignment="1">
      <alignment horizontal="center" vertical="center" wrapText="1" shrinkToFit="1"/>
    </xf>
    <xf numFmtId="179" fontId="18" fillId="0" borderId="6" xfId="0" applyNumberFormat="1" applyFont="1" applyFill="1" applyBorder="1" applyAlignment="1">
      <alignment horizontal="right" vertical="center"/>
    </xf>
    <xf numFmtId="0" fontId="17" fillId="0" borderId="10" xfId="0" applyFont="1" applyFill="1" applyBorder="1" applyAlignment="1">
      <alignment horizontal="left" vertical="center" shrinkToFit="1"/>
    </xf>
    <xf numFmtId="0" fontId="17" fillId="0" borderId="11" xfId="0" applyFont="1" applyFill="1" applyBorder="1" applyAlignment="1">
      <alignment horizontal="left" vertical="center" shrinkToFit="1"/>
    </xf>
    <xf numFmtId="0" fontId="17" fillId="0" borderId="12" xfId="0" applyFont="1" applyFill="1" applyBorder="1" applyAlignment="1">
      <alignment horizontal="left" vertical="center" shrinkToFit="1"/>
    </xf>
    <xf numFmtId="0" fontId="17" fillId="0" borderId="7" xfId="0" applyFont="1" applyFill="1" applyBorder="1" applyAlignment="1">
      <alignment horizontal="left" vertical="center" shrinkToFit="1"/>
    </xf>
    <xf numFmtId="179" fontId="18" fillId="0" borderId="7" xfId="0" applyNumberFormat="1" applyFont="1" applyFill="1" applyBorder="1" applyAlignment="1">
      <alignment horizontal="right" vertical="center"/>
    </xf>
    <xf numFmtId="0" fontId="13" fillId="0" borderId="10" xfId="0" applyFont="1" applyFill="1" applyBorder="1" applyAlignment="1">
      <alignment horizontal="left" vertical="center" shrinkToFit="1"/>
    </xf>
    <xf numFmtId="0" fontId="13" fillId="0" borderId="11" xfId="0" applyFont="1" applyFill="1" applyBorder="1" applyAlignment="1">
      <alignment horizontal="left" vertical="center" shrinkToFit="1"/>
    </xf>
    <xf numFmtId="0" fontId="13" fillId="0" borderId="12" xfId="0" applyFont="1" applyFill="1" applyBorder="1" applyAlignment="1">
      <alignment horizontal="left" vertical="center" shrinkToFit="1"/>
    </xf>
    <xf numFmtId="0" fontId="13" fillId="0" borderId="7" xfId="0" applyFont="1" applyFill="1" applyBorder="1" applyAlignment="1">
      <alignment horizontal="left" vertical="center" shrinkToFit="1"/>
    </xf>
    <xf numFmtId="179" fontId="19" fillId="0" borderId="7" xfId="0" applyNumberFormat="1" applyFont="1" applyFill="1" applyBorder="1" applyAlignment="1">
      <alignment horizontal="right" vertical="center"/>
    </xf>
    <xf numFmtId="0" fontId="19" fillId="0" borderId="10" xfId="0" applyNumberFormat="1" applyFont="1" applyFill="1" applyBorder="1" applyAlignment="1">
      <alignment horizontal="left" vertical="center"/>
    </xf>
    <xf numFmtId="0" fontId="19" fillId="0" borderId="11" xfId="0" applyNumberFormat="1" applyFont="1" applyFill="1" applyBorder="1" applyAlignment="1">
      <alignment horizontal="left" vertical="center"/>
    </xf>
    <xf numFmtId="0" fontId="19" fillId="0" borderId="12" xfId="0" applyNumberFormat="1" applyFont="1" applyFill="1" applyBorder="1" applyAlignment="1">
      <alignment horizontal="left" vertical="center"/>
    </xf>
    <xf numFmtId="0" fontId="18" fillId="0" borderId="7" xfId="0" applyNumberFormat="1" applyFont="1" applyFill="1" applyBorder="1" applyAlignment="1">
      <alignment horizontal="left" vertical="center"/>
    </xf>
    <xf numFmtId="179" fontId="18" fillId="0" borderId="13" xfId="0" applyNumberFormat="1" applyFont="1" applyFill="1" applyBorder="1" applyAlignment="1">
      <alignment horizontal="right" vertical="center"/>
    </xf>
    <xf numFmtId="0" fontId="19" fillId="0" borderId="7" xfId="0" applyNumberFormat="1" applyFont="1" applyFill="1" applyBorder="1" applyAlignment="1">
      <alignment horizontal="left" vertical="center"/>
    </xf>
    <xf numFmtId="179" fontId="19" fillId="0" borderId="6" xfId="0" applyNumberFormat="1" applyFont="1" applyFill="1" applyBorder="1" applyAlignment="1">
      <alignment horizontal="right" vertical="center"/>
    </xf>
    <xf numFmtId="179" fontId="19" fillId="0" borderId="13" xfId="0" applyNumberFormat="1" applyFont="1" applyFill="1" applyBorder="1" applyAlignment="1">
      <alignment horizontal="right" vertical="center"/>
    </xf>
    <xf numFmtId="0" fontId="17" fillId="0" borderId="7" xfId="0" applyNumberFormat="1" applyFont="1" applyFill="1" applyBorder="1" applyAlignment="1">
      <alignment horizontal="left" vertical="center"/>
    </xf>
    <xf numFmtId="179" fontId="17" fillId="0" borderId="7" xfId="0" applyNumberFormat="1" applyFont="1" applyFill="1" applyBorder="1" applyAlignment="1">
      <alignment horizontal="right" vertical="center"/>
    </xf>
    <xf numFmtId="0" fontId="13" fillId="0" borderId="7" xfId="0" applyNumberFormat="1" applyFont="1" applyFill="1" applyBorder="1" applyAlignment="1">
      <alignment horizontal="left" vertical="center"/>
    </xf>
    <xf numFmtId="179" fontId="13" fillId="0" borderId="7" xfId="0" applyNumberFormat="1" applyFont="1" applyFill="1" applyBorder="1" applyAlignment="1">
      <alignment horizontal="right" vertical="center"/>
    </xf>
    <xf numFmtId="0" fontId="19" fillId="0" borderId="8" xfId="0" applyNumberFormat="1" applyFont="1" applyFill="1" applyBorder="1" applyAlignment="1">
      <alignment horizontal="left" vertical="center"/>
    </xf>
    <xf numFmtId="179" fontId="19" fillId="0" borderId="8" xfId="0" applyNumberFormat="1" applyFont="1" applyFill="1" applyBorder="1" applyAlignment="1">
      <alignment horizontal="right" vertical="center"/>
    </xf>
    <xf numFmtId="179" fontId="19" fillId="0" borderId="14" xfId="0" applyNumberFormat="1" applyFont="1" applyFill="1" applyBorder="1" applyAlignment="1">
      <alignment horizontal="right" vertical="center"/>
    </xf>
    <xf numFmtId="0" fontId="20" fillId="0" borderId="0" xfId="0" applyFont="1" applyFill="1" applyAlignment="1">
      <alignment horizontal="center"/>
    </xf>
    <xf numFmtId="0" fontId="21" fillId="0" borderId="0" xfId="0" applyFont="1" applyFill="1" applyAlignment="1">
      <alignment vertical="center"/>
    </xf>
    <xf numFmtId="0" fontId="22"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8"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4" xfId="0" applyFont="1" applyFill="1" applyBorder="1" applyAlignment="1">
      <alignment horizontal="center" vertical="center"/>
    </xf>
    <xf numFmtId="0" fontId="18" fillId="0" borderId="3" xfId="0" applyFont="1" applyFill="1" applyBorder="1" applyAlignment="1">
      <alignment horizontal="center" vertical="center"/>
    </xf>
    <xf numFmtId="0" fontId="19" fillId="0" borderId="3" xfId="0" applyFont="1" applyFill="1" applyBorder="1" applyAlignment="1">
      <alignment horizontal="left" vertical="center"/>
    </xf>
    <xf numFmtId="0" fontId="19" fillId="0" borderId="4" xfId="0" applyFont="1" applyFill="1" applyBorder="1" applyAlignment="1">
      <alignment horizontal="center" vertical="center"/>
    </xf>
    <xf numFmtId="179" fontId="19" fillId="0" borderId="15" xfId="0" applyNumberFormat="1" applyFont="1" applyFill="1" applyBorder="1" applyAlignment="1">
      <alignment horizontal="right" vertical="center"/>
    </xf>
    <xf numFmtId="0" fontId="19" fillId="0" borderId="4" xfId="0" applyFont="1" applyFill="1" applyBorder="1" applyAlignment="1">
      <alignment horizontal="left" vertical="center"/>
    </xf>
    <xf numFmtId="179" fontId="19" fillId="0" borderId="16" xfId="0" applyNumberFormat="1" applyFont="1" applyFill="1" applyBorder="1" applyAlignment="1">
      <alignment horizontal="right" vertical="center"/>
    </xf>
    <xf numFmtId="179" fontId="19" fillId="0" borderId="17" xfId="0" applyNumberFormat="1" applyFont="1" applyFill="1" applyBorder="1" applyAlignment="1">
      <alignment horizontal="right" vertical="center"/>
    </xf>
    <xf numFmtId="179" fontId="19" fillId="0" borderId="18" xfId="0" applyNumberFormat="1" applyFont="1" applyFill="1" applyBorder="1" applyAlignment="1">
      <alignment horizontal="right" vertical="center"/>
    </xf>
    <xf numFmtId="179" fontId="19" fillId="0" borderId="19" xfId="0" applyNumberFormat="1" applyFont="1" applyFill="1" applyBorder="1" applyAlignment="1">
      <alignment horizontal="right" vertical="center"/>
    </xf>
    <xf numFmtId="179" fontId="19" fillId="0" borderId="18" xfId="0" applyNumberFormat="1" applyFont="1" applyFill="1" applyBorder="1" applyAlignment="1">
      <alignment horizontal="right" vertical="center" shrinkToFit="1"/>
    </xf>
    <xf numFmtId="179" fontId="18" fillId="0" borderId="18" xfId="0" applyNumberFormat="1" applyFont="1" applyFill="1" applyBorder="1" applyAlignment="1">
      <alignment horizontal="right" vertical="center" shrinkToFit="1"/>
    </xf>
    <xf numFmtId="179" fontId="18" fillId="0" borderId="19" xfId="0" applyNumberFormat="1" applyFont="1" applyFill="1" applyBorder="1" applyAlignment="1">
      <alignment horizontal="right" vertical="center"/>
    </xf>
    <xf numFmtId="179" fontId="18" fillId="0" borderId="7" xfId="0" applyNumberFormat="1" applyFont="1" applyFill="1" applyBorder="1" applyAlignment="1">
      <alignment horizontal="right" vertical="center" shrinkToFit="1"/>
    </xf>
    <xf numFmtId="179" fontId="18" fillId="0" borderId="13" xfId="0" applyNumberFormat="1" applyFont="1" applyFill="1" applyBorder="1" applyAlignment="1">
      <alignment horizontal="right" vertical="center" shrinkToFit="1"/>
    </xf>
    <xf numFmtId="179" fontId="19" fillId="0" borderId="20" xfId="0" applyNumberFormat="1" applyFont="1" applyFill="1" applyBorder="1" applyAlignment="1">
      <alignment horizontal="right" vertical="center" shrinkToFit="1"/>
    </xf>
    <xf numFmtId="179" fontId="19" fillId="0" borderId="19" xfId="0" applyNumberFormat="1" applyFont="1" applyFill="1" applyBorder="1" applyAlignment="1">
      <alignment horizontal="right" vertical="center" shrinkToFit="1"/>
    </xf>
    <xf numFmtId="179" fontId="19" fillId="0" borderId="7" xfId="0" applyNumberFormat="1" applyFont="1" applyFill="1" applyBorder="1" applyAlignment="1">
      <alignment horizontal="right" vertical="center" shrinkToFit="1"/>
    </xf>
    <xf numFmtId="179" fontId="19" fillId="0" borderId="13" xfId="0" applyNumberFormat="1" applyFont="1" applyFill="1" applyBorder="1" applyAlignment="1">
      <alignment horizontal="right" vertical="center" shrinkToFit="1"/>
    </xf>
    <xf numFmtId="179" fontId="19" fillId="0" borderId="4" xfId="0" applyNumberFormat="1" applyFont="1" applyFill="1" applyBorder="1" applyAlignment="1">
      <alignment horizontal="right" vertical="center" shrinkToFit="1"/>
    </xf>
    <xf numFmtId="179" fontId="19" fillId="0" borderId="21" xfId="0" applyNumberFormat="1" applyFont="1" applyFill="1" applyBorder="1" applyAlignment="1">
      <alignment horizontal="right" vertical="center" shrinkToFit="1"/>
    </xf>
    <xf numFmtId="179" fontId="19" fillId="0" borderId="8" xfId="0" applyNumberFormat="1" applyFont="1" applyFill="1" applyBorder="1" applyAlignment="1">
      <alignment horizontal="right" vertical="center" shrinkToFit="1"/>
    </xf>
    <xf numFmtId="179" fontId="19" fillId="0" borderId="14" xfId="0" applyNumberFormat="1" applyFont="1" applyFill="1" applyBorder="1" applyAlignment="1">
      <alignment horizontal="right" vertical="center" shrinkToFit="1"/>
    </xf>
    <xf numFmtId="0" fontId="18" fillId="0" borderId="22" xfId="0" applyFont="1" applyFill="1" applyBorder="1" applyAlignment="1">
      <alignment horizontal="center" vertical="center"/>
    </xf>
    <xf numFmtId="179" fontId="18" fillId="0" borderId="4" xfId="0" applyNumberFormat="1" applyFont="1" applyFill="1" applyBorder="1" applyAlignment="1">
      <alignment horizontal="right" vertical="center" shrinkToFit="1"/>
    </xf>
    <xf numFmtId="0" fontId="19" fillId="0" borderId="0" xfId="0" applyFont="1" applyFill="1" applyAlignment="1">
      <alignment horizontal="left" vertical="center" wrapText="1"/>
    </xf>
    <xf numFmtId="0" fontId="18" fillId="0" borderId="1" xfId="0" applyFont="1" applyFill="1" applyBorder="1" applyAlignment="1">
      <alignment horizontal="center" vertical="center" shrinkToFit="1"/>
    </xf>
    <xf numFmtId="0" fontId="18" fillId="0" borderId="2" xfId="0" applyFont="1" applyFill="1" applyBorder="1" applyAlignment="1">
      <alignment horizontal="center" vertical="center" shrinkToFit="1"/>
    </xf>
    <xf numFmtId="0" fontId="18" fillId="0" borderId="2" xfId="0" applyFont="1" applyFill="1" applyBorder="1" applyAlignment="1">
      <alignment horizontal="center" vertical="center" wrapText="1" shrinkToFit="1"/>
    </xf>
    <xf numFmtId="0" fontId="18" fillId="0" borderId="3" xfId="0" applyFont="1" applyFill="1" applyBorder="1" applyAlignment="1">
      <alignment horizontal="center" vertical="center" wrapText="1" shrinkToFit="1"/>
    </xf>
    <xf numFmtId="0" fontId="18" fillId="0" borderId="4" xfId="0" applyFont="1" applyFill="1" applyBorder="1" applyAlignment="1">
      <alignment horizontal="center" vertical="center" wrapText="1" shrinkToFit="1"/>
    </xf>
    <xf numFmtId="0" fontId="18" fillId="0" borderId="4"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6" xfId="0" applyFont="1" applyFill="1" applyBorder="1" applyAlignment="1">
      <alignment horizontal="center" vertical="center" wrapText="1" shrinkToFit="1"/>
    </xf>
    <xf numFmtId="0" fontId="18" fillId="0" borderId="17" xfId="0" applyFont="1" applyFill="1" applyBorder="1" applyAlignment="1">
      <alignment horizontal="center" vertical="center" wrapText="1" shrinkToFit="1"/>
    </xf>
    <xf numFmtId="0" fontId="17" fillId="0" borderId="7" xfId="0" applyFont="1" applyFill="1" applyBorder="1" applyAlignment="1">
      <alignment horizontal="center" vertical="center" shrinkToFit="1"/>
    </xf>
    <xf numFmtId="179" fontId="13" fillId="0" borderId="13" xfId="0" applyNumberFormat="1" applyFont="1" applyFill="1" applyBorder="1" applyAlignment="1">
      <alignment horizontal="right" vertical="center"/>
    </xf>
    <xf numFmtId="0" fontId="13" fillId="0" borderId="10" xfId="0" applyNumberFormat="1" applyFont="1" applyFill="1" applyBorder="1" applyAlignment="1">
      <alignment horizontal="left" vertical="center"/>
    </xf>
    <xf numFmtId="0" fontId="13" fillId="0" borderId="11" xfId="0" applyNumberFormat="1" applyFont="1" applyFill="1" applyBorder="1" applyAlignment="1">
      <alignment horizontal="left" vertical="center"/>
    </xf>
    <xf numFmtId="0" fontId="13" fillId="0" borderId="12" xfId="0" applyNumberFormat="1" applyFont="1" applyFill="1" applyBorder="1" applyAlignment="1">
      <alignment horizontal="left" vertical="center"/>
    </xf>
    <xf numFmtId="0" fontId="22" fillId="0" borderId="0" xfId="0" applyFont="1" applyFill="1"/>
    <xf numFmtId="0" fontId="21" fillId="0" borderId="0" xfId="0" applyFont="1" applyFill="1"/>
    <xf numFmtId="179" fontId="13" fillId="0" borderId="8" xfId="0" applyNumberFormat="1" applyFont="1" applyFill="1" applyBorder="1" applyAlignment="1">
      <alignment horizontal="right" vertical="center"/>
    </xf>
    <xf numFmtId="0" fontId="13" fillId="0" borderId="8" xfId="0" applyNumberFormat="1" applyFont="1" applyFill="1" applyBorder="1" applyAlignment="1">
      <alignment horizontal="left" vertical="center"/>
    </xf>
    <xf numFmtId="179" fontId="13" fillId="0" borderId="14" xfId="0" applyNumberFormat="1" applyFont="1" applyFill="1" applyBorder="1" applyAlignment="1">
      <alignment horizontal="right" vertical="center"/>
    </xf>
    <xf numFmtId="0" fontId="19" fillId="0" borderId="0" xfId="0" applyFont="1" applyFill="1" applyAlignment="1">
      <alignment horizontal="left" vertical="center" shrinkToFit="1"/>
    </xf>
    <xf numFmtId="0" fontId="23" fillId="0" borderId="0" xfId="0" applyFont="1" applyFill="1" applyAlignment="1">
      <alignment vertical="center"/>
    </xf>
    <xf numFmtId="0" fontId="24" fillId="0" borderId="0" xfId="0" applyFont="1" applyFill="1" applyAlignment="1">
      <alignment vertical="center"/>
    </xf>
    <xf numFmtId="0" fontId="25" fillId="0" borderId="0" xfId="0" applyFont="1" applyFill="1" applyAlignment="1">
      <alignment vertical="center"/>
    </xf>
    <xf numFmtId="0" fontId="23" fillId="0" borderId="0" xfId="0" applyFont="1" applyFill="1"/>
    <xf numFmtId="0" fontId="26" fillId="0" borderId="0" xfId="0" applyFont="1" applyFill="1" applyAlignment="1">
      <alignment horizontal="center" vertical="center"/>
    </xf>
    <xf numFmtId="0" fontId="27" fillId="0" borderId="0" xfId="0" applyFont="1" applyFill="1" applyAlignment="1">
      <alignment vertical="center"/>
    </xf>
    <xf numFmtId="0" fontId="24" fillId="0" borderId="0" xfId="0" applyFont="1" applyFill="1" applyAlignment="1">
      <alignment horizontal="right" vertical="center"/>
    </xf>
    <xf numFmtId="0" fontId="25" fillId="0" borderId="1" xfId="0" applyFont="1" applyFill="1" applyBorder="1" applyAlignment="1">
      <alignment horizontal="center" vertical="center" shrinkToFit="1"/>
    </xf>
    <xf numFmtId="0" fontId="25" fillId="0" borderId="2" xfId="0" applyFont="1" applyFill="1" applyBorder="1" applyAlignment="1">
      <alignment horizontal="center" vertical="center" shrinkToFit="1"/>
    </xf>
    <xf numFmtId="0" fontId="25" fillId="0" borderId="2" xfId="0" applyFont="1" applyFill="1" applyBorder="1" applyAlignment="1">
      <alignment horizontal="center" vertical="center" wrapText="1" shrinkToFit="1"/>
    </xf>
    <xf numFmtId="0" fontId="25" fillId="0" borderId="3" xfId="0" applyFont="1" applyFill="1" applyBorder="1" applyAlignment="1">
      <alignment horizontal="center" vertical="center" wrapText="1" shrinkToFit="1"/>
    </xf>
    <xf numFmtId="0" fontId="25" fillId="0" borderId="4" xfId="0" applyFont="1" applyFill="1" applyBorder="1" applyAlignment="1">
      <alignment horizontal="center" vertical="center" wrapText="1" shrinkToFit="1"/>
    </xf>
    <xf numFmtId="0" fontId="25" fillId="0" borderId="4" xfId="0" applyFont="1" applyFill="1" applyBorder="1" applyAlignment="1">
      <alignment horizontal="center" vertical="center" shrinkToFit="1"/>
    </xf>
    <xf numFmtId="0" fontId="25" fillId="0" borderId="6" xfId="0" applyFont="1" applyFill="1" applyBorder="1" applyAlignment="1">
      <alignment horizontal="center" vertical="center" shrinkToFit="1"/>
    </xf>
    <xf numFmtId="0" fontId="25" fillId="0" borderId="6" xfId="0" applyFont="1" applyFill="1" applyBorder="1" applyAlignment="1">
      <alignment horizontal="center" vertical="center" wrapText="1" shrinkToFit="1"/>
    </xf>
    <xf numFmtId="0" fontId="25" fillId="0" borderId="17" xfId="0" applyFont="1" applyFill="1" applyBorder="1" applyAlignment="1">
      <alignment horizontal="center" vertical="center" wrapText="1" shrinkToFit="1"/>
    </xf>
    <xf numFmtId="0" fontId="28" fillId="0" borderId="0" xfId="0" applyFont="1" applyFill="1"/>
    <xf numFmtId="0" fontId="25" fillId="0" borderId="7" xfId="0" applyFont="1" applyFill="1" applyBorder="1" applyAlignment="1">
      <alignment horizontal="center" vertical="center" shrinkToFit="1"/>
    </xf>
    <xf numFmtId="179" fontId="29" fillId="0" borderId="7" xfId="0" applyNumberFormat="1" applyFont="1" applyFill="1" applyBorder="1" applyAlignment="1">
      <alignment horizontal="right" vertical="center"/>
    </xf>
    <xf numFmtId="0" fontId="25" fillId="0" borderId="10" xfId="0" applyFont="1" applyFill="1" applyBorder="1" applyAlignment="1">
      <alignment horizontal="left" vertical="center" shrinkToFit="1"/>
    </xf>
    <xf numFmtId="0" fontId="25" fillId="0" borderId="11" xfId="0" applyFont="1" applyFill="1" applyBorder="1" applyAlignment="1">
      <alignment horizontal="left" vertical="center" shrinkToFit="1"/>
    </xf>
    <xf numFmtId="0" fontId="25" fillId="0" borderId="12" xfId="0" applyFont="1" applyFill="1" applyBorder="1" applyAlignment="1">
      <alignment horizontal="left" vertical="center" shrinkToFit="1"/>
    </xf>
    <xf numFmtId="0" fontId="25" fillId="0" borderId="7" xfId="0" applyFont="1" applyFill="1" applyBorder="1" applyAlignment="1">
      <alignment horizontal="left" vertical="center" shrinkToFit="1"/>
    </xf>
    <xf numFmtId="0" fontId="24" fillId="0" borderId="10" xfId="0" applyFont="1" applyFill="1" applyBorder="1" applyAlignment="1">
      <alignment horizontal="left" vertical="center" shrinkToFit="1"/>
    </xf>
    <xf numFmtId="0" fontId="24" fillId="0" borderId="11" xfId="0" applyFont="1" applyFill="1" applyBorder="1" applyAlignment="1">
      <alignment horizontal="left" vertical="center" shrinkToFit="1"/>
    </xf>
    <xf numFmtId="0" fontId="24" fillId="0" borderId="12" xfId="0" applyFont="1" applyFill="1" applyBorder="1" applyAlignment="1">
      <alignment horizontal="left" vertical="center" shrinkToFit="1"/>
    </xf>
    <xf numFmtId="0" fontId="24" fillId="0" borderId="7" xfId="0" applyFont="1" applyFill="1" applyBorder="1" applyAlignment="1">
      <alignment horizontal="left" vertical="center" shrinkToFit="1"/>
    </xf>
    <xf numFmtId="179" fontId="30" fillId="0" borderId="7" xfId="0" applyNumberFormat="1" applyFont="1" applyFill="1" applyBorder="1" applyAlignment="1">
      <alignment horizontal="right" vertical="center"/>
    </xf>
    <xf numFmtId="0" fontId="31" fillId="0" borderId="0" xfId="0" applyFont="1" applyFill="1"/>
    <xf numFmtId="0" fontId="30" fillId="0" borderId="10" xfId="0" applyNumberFormat="1" applyFont="1" applyFill="1" applyBorder="1" applyAlignment="1">
      <alignment horizontal="left" vertical="center"/>
    </xf>
    <xf numFmtId="0" fontId="30" fillId="0" borderId="11" xfId="0" applyNumberFormat="1" applyFont="1" applyFill="1" applyBorder="1" applyAlignment="1">
      <alignment horizontal="left" vertical="center"/>
    </xf>
    <xf numFmtId="0" fontId="30" fillId="0" borderId="12" xfId="0" applyNumberFormat="1" applyFont="1" applyFill="1" applyBorder="1" applyAlignment="1">
      <alignment horizontal="left" vertical="center"/>
    </xf>
    <xf numFmtId="179" fontId="30" fillId="0" borderId="13" xfId="0" applyNumberFormat="1" applyFont="1" applyFill="1" applyBorder="1" applyAlignment="1">
      <alignment horizontal="right" vertical="center"/>
    </xf>
    <xf numFmtId="0" fontId="29" fillId="0" borderId="7" xfId="0" applyNumberFormat="1" applyFont="1" applyFill="1" applyBorder="1" applyAlignment="1">
      <alignment horizontal="left" vertical="center"/>
    </xf>
    <xf numFmtId="0" fontId="30" fillId="0" borderId="7" xfId="0" applyNumberFormat="1" applyFont="1" applyFill="1" applyBorder="1" applyAlignment="1">
      <alignment horizontal="left" vertical="center"/>
    </xf>
    <xf numFmtId="0" fontId="29" fillId="0" borderId="10" xfId="0" applyNumberFormat="1" applyFont="1" applyFill="1" applyBorder="1" applyAlignment="1">
      <alignment horizontal="left" vertical="center"/>
    </xf>
    <xf numFmtId="0" fontId="29" fillId="0" borderId="11" xfId="0" applyNumberFormat="1" applyFont="1" applyFill="1" applyBorder="1" applyAlignment="1">
      <alignment horizontal="left" vertical="center"/>
    </xf>
    <xf numFmtId="0" fontId="29" fillId="0" borderId="12" xfId="0" applyNumberFormat="1" applyFont="1" applyFill="1" applyBorder="1" applyAlignment="1">
      <alignment horizontal="left" vertical="center"/>
    </xf>
    <xf numFmtId="0" fontId="24" fillId="0" borderId="0" xfId="0" applyFont="1" applyFill="1" applyAlignment="1">
      <alignment horizontal="left" vertical="center" shrinkToFit="1"/>
    </xf>
    <xf numFmtId="0" fontId="32" fillId="0" borderId="0" xfId="0" applyFont="1" applyFill="1" applyAlignment="1">
      <alignment horizontal="center"/>
    </xf>
    <xf numFmtId="0" fontId="33" fillId="0" borderId="0" xfId="0" applyFont="1" applyFill="1" applyAlignment="1">
      <alignment vertical="center"/>
    </xf>
    <xf numFmtId="0" fontId="34" fillId="0" borderId="0" xfId="0" applyFont="1" applyFill="1" applyAlignment="1">
      <alignment vertical="center"/>
    </xf>
    <xf numFmtId="0" fontId="4" fillId="0" borderId="0" xfId="0" applyFont="1" applyFill="1" applyAlignment="1">
      <alignment horizontal="center" vertical="center"/>
    </xf>
    <xf numFmtId="0" fontId="33" fillId="0" borderId="0" xfId="0" applyFont="1" applyFill="1" applyAlignment="1">
      <alignment horizontal="right" vertical="center"/>
    </xf>
    <xf numFmtId="0" fontId="34" fillId="0" borderId="1" xfId="0" applyFont="1" applyFill="1" applyBorder="1" applyAlignment="1">
      <alignment horizontal="center" vertical="center" shrinkToFit="1"/>
    </xf>
    <xf numFmtId="0" fontId="34" fillId="0" borderId="2" xfId="0" applyFont="1" applyFill="1" applyBorder="1" applyAlignment="1">
      <alignment horizontal="center" vertical="center" shrinkToFit="1"/>
    </xf>
    <xf numFmtId="0" fontId="34" fillId="0" borderId="3" xfId="0" applyFont="1" applyFill="1" applyBorder="1" applyAlignment="1">
      <alignment horizontal="center" vertical="center" shrinkToFit="1"/>
    </xf>
    <xf numFmtId="0" fontId="34" fillId="0" borderId="4" xfId="0" applyFont="1" applyFill="1" applyBorder="1" applyAlignment="1">
      <alignment horizontal="center" vertical="center" shrinkToFit="1"/>
    </xf>
    <xf numFmtId="0" fontId="33" fillId="0" borderId="3" xfId="0" applyFont="1" applyFill="1" applyBorder="1" applyAlignment="1">
      <alignment horizontal="left" vertical="center" shrinkToFit="1"/>
    </xf>
    <xf numFmtId="0" fontId="33" fillId="0" borderId="4" xfId="0" applyFont="1" applyFill="1" applyBorder="1" applyAlignment="1">
      <alignment horizontal="center" vertical="center" shrinkToFit="1"/>
    </xf>
    <xf numFmtId="179" fontId="33" fillId="0" borderId="15" xfId="0" applyNumberFormat="1" applyFont="1" applyFill="1" applyBorder="1" applyAlignment="1">
      <alignment horizontal="right" vertical="center" shrinkToFit="1"/>
    </xf>
    <xf numFmtId="0" fontId="35" fillId="0" borderId="4" xfId="0" applyFont="1" applyFill="1" applyBorder="1" applyAlignment="1">
      <alignment horizontal="left" vertical="center" shrinkToFit="1"/>
    </xf>
    <xf numFmtId="0" fontId="35" fillId="0" borderId="4" xfId="0" applyFont="1" applyFill="1" applyBorder="1" applyAlignment="1">
      <alignment horizontal="center" vertical="center" shrinkToFit="1"/>
    </xf>
    <xf numFmtId="179" fontId="35" fillId="0" borderId="15" xfId="0" applyNumberFormat="1" applyFont="1" applyFill="1" applyBorder="1" applyAlignment="1">
      <alignment horizontal="right" vertical="center"/>
    </xf>
    <xf numFmtId="179" fontId="36" fillId="0" borderId="18" xfId="0" applyNumberFormat="1" applyFont="1" applyFill="1" applyBorder="1" applyAlignment="1">
      <alignment horizontal="right" vertical="center"/>
    </xf>
    <xf numFmtId="0" fontId="33" fillId="0" borderId="4" xfId="0" applyFont="1" applyFill="1" applyBorder="1" applyAlignment="1">
      <alignment horizontal="left" vertical="center" shrinkToFit="1"/>
    </xf>
    <xf numFmtId="179" fontId="33" fillId="0" borderId="18" xfId="0" applyNumberFormat="1" applyFont="1" applyFill="1" applyBorder="1" applyAlignment="1">
      <alignment horizontal="right" vertical="center" shrinkToFit="1"/>
    </xf>
    <xf numFmtId="179" fontId="35" fillId="0" borderId="18" xfId="0" applyNumberFormat="1" applyFont="1" applyFill="1" applyBorder="1" applyAlignment="1">
      <alignment horizontal="right" vertical="center" shrinkToFit="1"/>
    </xf>
    <xf numFmtId="179" fontId="35" fillId="0" borderId="18" xfId="0" applyNumberFormat="1" applyFont="1" applyFill="1" applyBorder="1" applyAlignment="1">
      <alignment horizontal="right" vertical="center"/>
    </xf>
    <xf numFmtId="0" fontId="33" fillId="0" borderId="23" xfId="0" applyFont="1" applyFill="1" applyBorder="1" applyAlignment="1">
      <alignment horizontal="center" vertical="center" shrinkToFit="1"/>
    </xf>
    <xf numFmtId="179" fontId="33" fillId="0" borderId="24" xfId="0" applyNumberFormat="1" applyFont="1" applyFill="1" applyBorder="1" applyAlignment="1">
      <alignment horizontal="right" vertical="center" shrinkToFit="1"/>
    </xf>
    <xf numFmtId="0" fontId="35" fillId="0" borderId="23" xfId="0" applyFont="1" applyFill="1" applyBorder="1" applyAlignment="1">
      <alignment horizontal="left" vertical="center" shrinkToFit="1"/>
    </xf>
    <xf numFmtId="0" fontId="35" fillId="0" borderId="23" xfId="0" applyFont="1" applyFill="1" applyBorder="1" applyAlignment="1">
      <alignment horizontal="center" vertical="center" shrinkToFit="1"/>
    </xf>
    <xf numFmtId="179" fontId="35" fillId="0" borderId="24" xfId="0" applyNumberFormat="1" applyFont="1" applyFill="1" applyBorder="1" applyAlignment="1">
      <alignment horizontal="right" vertical="center"/>
    </xf>
    <xf numFmtId="0" fontId="33" fillId="0" borderId="19" xfId="0" applyFont="1" applyFill="1" applyBorder="1" applyAlignment="1">
      <alignment horizontal="center" vertical="center" shrinkToFit="1"/>
    </xf>
    <xf numFmtId="179" fontId="33" fillId="0" borderId="7" xfId="0" applyNumberFormat="1" applyFont="1" applyFill="1" applyBorder="1" applyAlignment="1">
      <alignment horizontal="right" vertical="center" shrinkToFit="1"/>
    </xf>
    <xf numFmtId="0" fontId="35" fillId="0" borderId="7" xfId="0" applyFont="1" applyFill="1" applyBorder="1" applyAlignment="1">
      <alignment horizontal="left" vertical="center" shrinkToFit="1"/>
    </xf>
    <xf numFmtId="0" fontId="35" fillId="0" borderId="7" xfId="0" applyFont="1" applyFill="1" applyBorder="1" applyAlignment="1">
      <alignment horizontal="center" vertical="center" shrinkToFit="1"/>
    </xf>
    <xf numFmtId="179" fontId="35" fillId="0" borderId="13" xfId="0" applyNumberFormat="1" applyFont="1" applyFill="1" applyBorder="1" applyAlignment="1">
      <alignment horizontal="right" vertical="center"/>
    </xf>
    <xf numFmtId="179" fontId="35" fillId="0" borderId="13" xfId="0" applyNumberFormat="1" applyFont="1" applyFill="1" applyBorder="1" applyAlignment="1">
      <alignment horizontal="right" vertical="center" shrinkToFit="1"/>
    </xf>
    <xf numFmtId="0" fontId="33" fillId="0" borderId="7" xfId="0" applyFont="1" applyFill="1" applyBorder="1" applyAlignment="1">
      <alignment horizontal="left" vertical="center" shrinkToFit="1"/>
    </xf>
    <xf numFmtId="0" fontId="33" fillId="0" borderId="7" xfId="0" applyFont="1" applyFill="1" applyBorder="1" applyAlignment="1">
      <alignment horizontal="center" vertical="center" shrinkToFit="1"/>
    </xf>
    <xf numFmtId="179" fontId="33" fillId="0" borderId="13" xfId="0" applyNumberFormat="1" applyFont="1" applyFill="1" applyBorder="1" applyAlignment="1">
      <alignment horizontal="right" vertical="center" shrinkToFit="1"/>
    </xf>
    <xf numFmtId="0" fontId="34" fillId="0" borderId="19" xfId="0" applyFont="1" applyFill="1" applyBorder="1" applyAlignment="1">
      <alignment horizontal="center" vertical="center" shrinkToFit="1"/>
    </xf>
    <xf numFmtId="179" fontId="34" fillId="0" borderId="7" xfId="0" applyNumberFormat="1" applyFont="1" applyFill="1" applyBorder="1" applyAlignment="1">
      <alignment horizontal="right" vertical="center" shrinkToFit="1"/>
    </xf>
    <xf numFmtId="0" fontId="34" fillId="0" borderId="7" xfId="0" applyFont="1" applyFill="1" applyBorder="1" applyAlignment="1">
      <alignment horizontal="center" vertical="center" shrinkToFit="1"/>
    </xf>
    <xf numFmtId="179" fontId="37" fillId="0" borderId="13" xfId="0" applyNumberFormat="1" applyFont="1" applyFill="1" applyBorder="1" applyAlignment="1">
      <alignment horizontal="right" vertical="center"/>
    </xf>
    <xf numFmtId="179" fontId="36" fillId="0" borderId="13" xfId="0" applyNumberFormat="1" applyFont="1" applyFill="1" applyBorder="1" applyAlignment="1">
      <alignment horizontal="right" vertical="center"/>
    </xf>
    <xf numFmtId="0" fontId="34" fillId="0" borderId="21" xfId="0" applyFont="1" applyFill="1" applyBorder="1" applyAlignment="1">
      <alignment horizontal="center" vertical="center" shrinkToFit="1"/>
    </xf>
    <xf numFmtId="179" fontId="34" fillId="0" borderId="8" xfId="0" applyNumberFormat="1" applyFont="1" applyFill="1" applyBorder="1" applyAlignment="1">
      <alignment horizontal="right" vertical="center" shrinkToFit="1"/>
    </xf>
    <xf numFmtId="0" fontId="34" fillId="0" borderId="8" xfId="0" applyFont="1" applyFill="1" applyBorder="1" applyAlignment="1">
      <alignment horizontal="center" vertical="center" shrinkToFit="1"/>
    </xf>
    <xf numFmtId="179" fontId="37" fillId="0" borderId="14" xfId="0" applyNumberFormat="1" applyFont="1" applyFill="1" applyBorder="1" applyAlignment="1">
      <alignment horizontal="right" vertical="center"/>
    </xf>
    <xf numFmtId="0" fontId="33"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zoomScale="120" zoomScaleNormal="120" zoomScaleSheetLayoutView="60" workbookViewId="0">
      <pane xSplit="2" ySplit="6" topLeftCell="C11" activePane="bottomRight" state="frozen"/>
      <selection/>
      <selection pane="topRight"/>
      <selection pane="bottomLeft"/>
      <selection pane="bottomRight" activeCell="D18" sqref="D18"/>
    </sheetView>
  </sheetViews>
  <sheetFormatPr defaultColWidth="8.88571428571429" defaultRowHeight="12.75" outlineLevelCol="5"/>
  <cols>
    <col min="1" max="1" width="39.2857142857143" style="5" customWidth="1"/>
    <col min="2" max="2" width="5.42857142857143" style="5" customWidth="1"/>
    <col min="3" max="3" width="21.4285714285714" style="5" customWidth="1"/>
    <col min="4" max="4" width="40.1333333333333" style="5" customWidth="1"/>
    <col min="5" max="5" width="5.42857142857143" style="5" customWidth="1"/>
    <col min="6" max="6" width="21.4285714285714" style="5" customWidth="1"/>
    <col min="7" max="7" width="9.76190476190476" style="5"/>
    <col min="8" max="16384" width="8.88571428571429" style="5"/>
  </cols>
  <sheetData>
    <row r="1" ht="22" customHeight="1" spans="1:6">
      <c r="A1" s="6" t="s">
        <v>0</v>
      </c>
      <c r="B1" s="194"/>
      <c r="C1" s="6" t="s">
        <v>0</v>
      </c>
      <c r="D1" s="194"/>
      <c r="E1" s="194"/>
      <c r="F1" s="194"/>
    </row>
    <row r="2" s="192" customFormat="1" ht="18" customHeight="1" spans="1:6">
      <c r="F2" s="195" t="s">
        <v>1</v>
      </c>
    </row>
    <row r="3" s="192" customFormat="1" ht="18" customHeight="1" spans="1:6">
      <c r="A3" s="192" t="s">
        <v>2</v>
      </c>
      <c r="F3" s="195" t="s">
        <v>3</v>
      </c>
    </row>
    <row r="4" s="193" customFormat="1" ht="18" customHeight="1" spans="1:6">
      <c r="A4" s="196" t="s">
        <v>4</v>
      </c>
      <c r="B4" s="197" t="s">
        <v>5</v>
      </c>
      <c r="C4" s="197" t="s">
        <v>5</v>
      </c>
      <c r="D4" s="197" t="s">
        <v>6</v>
      </c>
      <c r="E4" s="197" t="s">
        <v>5</v>
      </c>
      <c r="F4" s="197" t="s">
        <v>5</v>
      </c>
    </row>
    <row r="5" s="193" customFormat="1" ht="18" customHeight="1" spans="1:6">
      <c r="A5" s="198" t="s">
        <v>7</v>
      </c>
      <c r="B5" s="199" t="s">
        <v>8</v>
      </c>
      <c r="C5" s="199" t="s">
        <v>9</v>
      </c>
      <c r="D5" s="199" t="s">
        <v>7</v>
      </c>
      <c r="E5" s="199" t="s">
        <v>8</v>
      </c>
      <c r="F5" s="199" t="s">
        <v>9</v>
      </c>
    </row>
    <row r="6" s="193" customFormat="1" ht="18" customHeight="1" spans="1:6">
      <c r="A6" s="198" t="s">
        <v>10</v>
      </c>
      <c r="B6" s="199" t="s">
        <v>5</v>
      </c>
      <c r="C6" s="199" t="s">
        <v>11</v>
      </c>
      <c r="D6" s="199" t="s">
        <v>10</v>
      </c>
      <c r="E6" s="199" t="s">
        <v>5</v>
      </c>
      <c r="F6" s="199" t="s">
        <v>12</v>
      </c>
    </row>
    <row r="7" s="192" customFormat="1" ht="18" customHeight="1" spans="1:6">
      <c r="A7" s="200" t="s">
        <v>13</v>
      </c>
      <c r="B7" s="201" t="s">
        <v>11</v>
      </c>
      <c r="C7" s="202">
        <f>一般公共预算财政拨款支出决算表!E9</f>
        <v>8251.845057</v>
      </c>
      <c r="D7" s="203" t="s">
        <v>14</v>
      </c>
      <c r="E7" s="204" t="s">
        <v>15</v>
      </c>
      <c r="F7" s="205">
        <v>0</v>
      </c>
    </row>
    <row r="8" s="192" customFormat="1" ht="18" customHeight="1" spans="1:6">
      <c r="A8" s="200" t="s">
        <v>16</v>
      </c>
      <c r="B8" s="201" t="s">
        <v>12</v>
      </c>
      <c r="C8" s="206">
        <f>政府性基金预算财政拨款收入支出决算表!F7</f>
        <v>422.991419</v>
      </c>
      <c r="D8" s="207" t="s">
        <v>17</v>
      </c>
      <c r="E8" s="201" t="s">
        <v>18</v>
      </c>
      <c r="F8" s="208" t="s">
        <v>5</v>
      </c>
    </row>
    <row r="9" s="192" customFormat="1" ht="18" customHeight="1" spans="1:6">
      <c r="A9" s="200" t="s">
        <v>19</v>
      </c>
      <c r="B9" s="201" t="s">
        <v>20</v>
      </c>
      <c r="C9" s="206">
        <f>国有资本经营预算财政拨款支出决算表!E9</f>
        <v>0</v>
      </c>
      <c r="D9" s="203" t="s">
        <v>21</v>
      </c>
      <c r="E9" s="204" t="s">
        <v>22</v>
      </c>
      <c r="F9" s="209" t="s">
        <v>5</v>
      </c>
    </row>
    <row r="10" s="192" customFormat="1" ht="18" customHeight="1" spans="1:6">
      <c r="A10" s="200" t="s">
        <v>23</v>
      </c>
      <c r="B10" s="201" t="s">
        <v>24</v>
      </c>
      <c r="C10" s="208" t="s">
        <v>5</v>
      </c>
      <c r="D10" s="203" t="s">
        <v>25</v>
      </c>
      <c r="E10" s="204" t="s">
        <v>26</v>
      </c>
      <c r="F10" s="209" t="s">
        <v>5</v>
      </c>
    </row>
    <row r="11" s="192" customFormat="1" ht="18" customHeight="1" spans="1:6">
      <c r="A11" s="200" t="s">
        <v>27</v>
      </c>
      <c r="B11" s="201" t="s">
        <v>28</v>
      </c>
      <c r="C11" s="208" t="s">
        <v>5</v>
      </c>
      <c r="D11" s="203" t="s">
        <v>29</v>
      </c>
      <c r="E11" s="204" t="s">
        <v>30</v>
      </c>
      <c r="F11" s="209"/>
    </row>
    <row r="12" s="192" customFormat="1" ht="18" customHeight="1" spans="1:6">
      <c r="A12" s="200" t="s">
        <v>31</v>
      </c>
      <c r="B12" s="201" t="s">
        <v>32</v>
      </c>
      <c r="C12" s="208" t="s">
        <v>5</v>
      </c>
      <c r="D12" s="203" t="s">
        <v>33</v>
      </c>
      <c r="E12" s="204" t="s">
        <v>34</v>
      </c>
      <c r="F12" s="209">
        <f>收入决算表!E10</f>
        <v>94</v>
      </c>
    </row>
    <row r="13" s="192" customFormat="1" ht="18" customHeight="1" spans="1:6">
      <c r="A13" s="200" t="s">
        <v>35</v>
      </c>
      <c r="B13" s="201" t="s">
        <v>36</v>
      </c>
      <c r="C13" s="208" t="s">
        <v>5</v>
      </c>
      <c r="D13" s="203" t="s">
        <v>37</v>
      </c>
      <c r="E13" s="204" t="s">
        <v>38</v>
      </c>
      <c r="F13" s="209" t="s">
        <v>5</v>
      </c>
    </row>
    <row r="14" s="192" customFormat="1" ht="18" customHeight="1" spans="1:6">
      <c r="A14" s="200" t="s">
        <v>39</v>
      </c>
      <c r="B14" s="201" t="s">
        <v>40</v>
      </c>
      <c r="C14" s="206">
        <f>收入决算表!K9</f>
        <v>2409.743779</v>
      </c>
      <c r="D14" s="203" t="s">
        <v>41</v>
      </c>
      <c r="E14" s="204" t="s">
        <v>42</v>
      </c>
      <c r="F14" s="210">
        <f>支出决算表!E13</f>
        <v>370.194492</v>
      </c>
    </row>
    <row r="15" s="192" customFormat="1" ht="18" customHeight="1" spans="1:6">
      <c r="A15" s="200" t="s">
        <v>5</v>
      </c>
      <c r="B15" s="201" t="s">
        <v>43</v>
      </c>
      <c r="C15" s="208" t="s">
        <v>5</v>
      </c>
      <c r="D15" s="203" t="s">
        <v>44</v>
      </c>
      <c r="E15" s="204" t="s">
        <v>45</v>
      </c>
      <c r="F15" s="210">
        <f>支出决算表!E22</f>
        <v>200.343372</v>
      </c>
    </row>
    <row r="16" s="192" customFormat="1" ht="18" customHeight="1" spans="1:6">
      <c r="A16" s="200" t="s">
        <v>5</v>
      </c>
      <c r="B16" s="201" t="s">
        <v>46</v>
      </c>
      <c r="C16" s="208" t="s">
        <v>5</v>
      </c>
      <c r="D16" s="203" t="s">
        <v>47</v>
      </c>
      <c r="E16" s="204" t="s">
        <v>48</v>
      </c>
      <c r="F16" s="209">
        <f>支出决算表!E26</f>
        <v>90</v>
      </c>
    </row>
    <row r="17" s="192" customFormat="1" ht="18" customHeight="1" spans="1:6">
      <c r="A17" s="200" t="s">
        <v>5</v>
      </c>
      <c r="B17" s="201" t="s">
        <v>49</v>
      </c>
      <c r="C17" s="208" t="s">
        <v>5</v>
      </c>
      <c r="D17" s="203" t="s">
        <v>50</v>
      </c>
      <c r="E17" s="204" t="s">
        <v>51</v>
      </c>
      <c r="F17" s="210">
        <f>支出决算表!E29</f>
        <v>252.70816</v>
      </c>
    </row>
    <row r="18" s="192" customFormat="1" ht="18" customHeight="1" spans="1:6">
      <c r="A18" s="200" t="s">
        <v>5</v>
      </c>
      <c r="B18" s="201" t="s">
        <v>52</v>
      </c>
      <c r="C18" s="208" t="s">
        <v>5</v>
      </c>
      <c r="D18" s="203" t="s">
        <v>53</v>
      </c>
      <c r="E18" s="204" t="s">
        <v>54</v>
      </c>
      <c r="F18" s="210">
        <f>支出决算表!E35</f>
        <v>116.961</v>
      </c>
    </row>
    <row r="19" s="192" customFormat="1" ht="18" customHeight="1" spans="1:6">
      <c r="A19" s="200" t="s">
        <v>5</v>
      </c>
      <c r="B19" s="201" t="s">
        <v>55</v>
      </c>
      <c r="C19" s="208" t="s">
        <v>5</v>
      </c>
      <c r="D19" s="203" t="s">
        <v>56</v>
      </c>
      <c r="E19" s="204" t="s">
        <v>57</v>
      </c>
      <c r="F19" s="209" t="s">
        <v>5</v>
      </c>
    </row>
    <row r="20" s="192" customFormat="1" ht="18" customHeight="1" spans="1:6">
      <c r="A20" s="200" t="s">
        <v>5</v>
      </c>
      <c r="B20" s="201" t="s">
        <v>58</v>
      </c>
      <c r="C20" s="208" t="s">
        <v>5</v>
      </c>
      <c r="D20" s="203" t="s">
        <v>59</v>
      </c>
      <c r="E20" s="204" t="s">
        <v>60</v>
      </c>
      <c r="F20" s="209" t="s">
        <v>5</v>
      </c>
    </row>
    <row r="21" s="192" customFormat="1" ht="18" customHeight="1" spans="1:6">
      <c r="A21" s="200" t="s">
        <v>5</v>
      </c>
      <c r="B21" s="201" t="s">
        <v>61</v>
      </c>
      <c r="C21" s="208" t="s">
        <v>5</v>
      </c>
      <c r="D21" s="203" t="s">
        <v>62</v>
      </c>
      <c r="E21" s="204" t="s">
        <v>63</v>
      </c>
      <c r="F21" s="209" t="s">
        <v>5</v>
      </c>
    </row>
    <row r="22" s="192" customFormat="1" ht="18" customHeight="1" spans="1:6">
      <c r="A22" s="200" t="s">
        <v>5</v>
      </c>
      <c r="B22" s="201" t="s">
        <v>64</v>
      </c>
      <c r="C22" s="208" t="s">
        <v>5</v>
      </c>
      <c r="D22" s="203" t="s">
        <v>65</v>
      </c>
      <c r="E22" s="204" t="s">
        <v>66</v>
      </c>
      <c r="F22" s="209" t="s">
        <v>5</v>
      </c>
    </row>
    <row r="23" s="192" customFormat="1" ht="18" customHeight="1" spans="1:6">
      <c r="A23" s="200" t="s">
        <v>5</v>
      </c>
      <c r="B23" s="201" t="s">
        <v>67</v>
      </c>
      <c r="C23" s="208" t="s">
        <v>5</v>
      </c>
      <c r="D23" s="203" t="s">
        <v>68</v>
      </c>
      <c r="E23" s="204" t="s">
        <v>69</v>
      </c>
      <c r="F23" s="209" t="s">
        <v>5</v>
      </c>
    </row>
    <row r="24" s="192" customFormat="1" ht="18" customHeight="1" spans="1:6">
      <c r="A24" s="200" t="s">
        <v>5</v>
      </c>
      <c r="B24" s="201" t="s">
        <v>70</v>
      </c>
      <c r="C24" s="208" t="s">
        <v>5</v>
      </c>
      <c r="D24" s="203" t="s">
        <v>71</v>
      </c>
      <c r="E24" s="204" t="s">
        <v>72</v>
      </c>
      <c r="F24" s="210">
        <f>支出决算表!E38</f>
        <v>7037.280881</v>
      </c>
    </row>
    <row r="25" s="192" customFormat="1" ht="18" customHeight="1" spans="1:6">
      <c r="A25" s="200" t="s">
        <v>5</v>
      </c>
      <c r="B25" s="201" t="s">
        <v>73</v>
      </c>
      <c r="C25" s="208" t="s">
        <v>5</v>
      </c>
      <c r="D25" s="203" t="s">
        <v>74</v>
      </c>
      <c r="E25" s="204" t="s">
        <v>75</v>
      </c>
      <c r="F25" s="210">
        <f>支出决算表!E47</f>
        <v>253.065312</v>
      </c>
    </row>
    <row r="26" s="192" customFormat="1" ht="18" customHeight="1" spans="1:6">
      <c r="A26" s="200" t="s">
        <v>5</v>
      </c>
      <c r="B26" s="201" t="s">
        <v>76</v>
      </c>
      <c r="C26" s="208" t="s">
        <v>5</v>
      </c>
      <c r="D26" s="203" t="s">
        <v>77</v>
      </c>
      <c r="E26" s="204" t="s">
        <v>78</v>
      </c>
      <c r="F26" s="209" t="s">
        <v>5</v>
      </c>
    </row>
    <row r="27" s="192" customFormat="1" ht="18" customHeight="1" spans="1:6">
      <c r="A27" s="200" t="s">
        <v>5</v>
      </c>
      <c r="B27" s="211" t="s">
        <v>79</v>
      </c>
      <c r="C27" s="212" t="s">
        <v>5</v>
      </c>
      <c r="D27" s="213" t="s">
        <v>80</v>
      </c>
      <c r="E27" s="214" t="s">
        <v>81</v>
      </c>
      <c r="F27" s="215"/>
    </row>
    <row r="28" s="192" customFormat="1" ht="18" customHeight="1" spans="1:6">
      <c r="A28" s="200" t="s">
        <v>5</v>
      </c>
      <c r="B28" s="216" t="s">
        <v>82</v>
      </c>
      <c r="C28" s="217" t="s">
        <v>5</v>
      </c>
      <c r="D28" s="218" t="s">
        <v>83</v>
      </c>
      <c r="E28" s="219" t="s">
        <v>84</v>
      </c>
      <c r="F28" s="220">
        <f>支出决算表!E50</f>
        <v>60</v>
      </c>
    </row>
    <row r="29" s="192" customFormat="1" ht="18" customHeight="1" spans="1:6">
      <c r="A29" s="200" t="s">
        <v>5</v>
      </c>
      <c r="B29" s="216" t="s">
        <v>85</v>
      </c>
      <c r="C29" s="217" t="s">
        <v>5</v>
      </c>
      <c r="D29" s="218" t="s">
        <v>86</v>
      </c>
      <c r="E29" s="219" t="s">
        <v>87</v>
      </c>
      <c r="F29" s="220">
        <f>支出决算表!E53</f>
        <v>1437.671271</v>
      </c>
    </row>
    <row r="30" s="192" customFormat="1" ht="18" customHeight="1" spans="1:6">
      <c r="A30" s="198" t="s">
        <v>5</v>
      </c>
      <c r="B30" s="216" t="s">
        <v>88</v>
      </c>
      <c r="C30" s="217" t="s">
        <v>5</v>
      </c>
      <c r="D30" s="218" t="s">
        <v>89</v>
      </c>
      <c r="E30" s="219" t="s">
        <v>90</v>
      </c>
      <c r="F30" s="221" t="s">
        <v>5</v>
      </c>
    </row>
    <row r="31" s="192" customFormat="1" ht="18" customHeight="1" spans="1:6">
      <c r="A31" s="200" t="s">
        <v>5</v>
      </c>
      <c r="B31" s="216" t="s">
        <v>91</v>
      </c>
      <c r="C31" s="217" t="s">
        <v>5</v>
      </c>
      <c r="D31" s="218" t="s">
        <v>92</v>
      </c>
      <c r="E31" s="219" t="s">
        <v>93</v>
      </c>
      <c r="F31" s="221" t="s">
        <v>5</v>
      </c>
    </row>
    <row r="32" s="192" customFormat="1" ht="18" customHeight="1" spans="1:6">
      <c r="A32" s="200" t="s">
        <v>5</v>
      </c>
      <c r="B32" s="216" t="s">
        <v>94</v>
      </c>
      <c r="C32" s="217" t="s">
        <v>5</v>
      </c>
      <c r="D32" s="222" t="s">
        <v>95</v>
      </c>
      <c r="E32" s="223" t="s">
        <v>96</v>
      </c>
      <c r="F32" s="224" t="s">
        <v>5</v>
      </c>
    </row>
    <row r="33" s="193" customFormat="1" ht="18" customHeight="1" spans="1:6">
      <c r="A33" s="198" t="s">
        <v>97</v>
      </c>
      <c r="B33" s="225" t="s">
        <v>98</v>
      </c>
      <c r="C33" s="226">
        <f>SUM(C7:C32)</f>
        <v>11084.580255</v>
      </c>
      <c r="D33" s="227" t="s">
        <v>99</v>
      </c>
      <c r="E33" s="227" t="s">
        <v>100</v>
      </c>
      <c r="F33" s="228">
        <f>SUM(F7:F32)</f>
        <v>9912.224488</v>
      </c>
    </row>
    <row r="34" s="192" customFormat="1" ht="18" customHeight="1" spans="1:6">
      <c r="A34" s="200" t="s">
        <v>101</v>
      </c>
      <c r="B34" s="216" t="s">
        <v>102</v>
      </c>
      <c r="C34" s="217"/>
      <c r="D34" s="222" t="s">
        <v>103</v>
      </c>
      <c r="E34" s="223" t="s">
        <v>104</v>
      </c>
      <c r="F34" s="229"/>
    </row>
    <row r="35" s="192" customFormat="1" ht="18" customHeight="1" spans="1:6">
      <c r="A35" s="200" t="s">
        <v>105</v>
      </c>
      <c r="B35" s="216" t="s">
        <v>106</v>
      </c>
      <c r="C35" s="217">
        <f>17841977.34/10000</f>
        <v>1784.197734</v>
      </c>
      <c r="D35" s="222" t="s">
        <v>107</v>
      </c>
      <c r="E35" s="223" t="s">
        <v>108</v>
      </c>
      <c r="F35" s="229">
        <f>29565535.01/10000</f>
        <v>2956.553501</v>
      </c>
    </row>
    <row r="36" s="192" customFormat="1" ht="18" customHeight="1" spans="1:6">
      <c r="A36" s="200" t="s">
        <v>5</v>
      </c>
      <c r="B36" s="216" t="s">
        <v>109</v>
      </c>
      <c r="C36" s="217" t="s">
        <v>5</v>
      </c>
      <c r="D36" s="222" t="s">
        <v>5</v>
      </c>
      <c r="E36" s="223" t="s">
        <v>110</v>
      </c>
      <c r="F36" s="229" t="s">
        <v>5</v>
      </c>
    </row>
    <row r="37" s="193" customFormat="1" ht="18" customHeight="1" spans="1:6">
      <c r="A37" s="198" t="s">
        <v>111</v>
      </c>
      <c r="B37" s="230" t="s">
        <v>112</v>
      </c>
      <c r="C37" s="231">
        <f>SUM(C33:C36)</f>
        <v>12868.777989</v>
      </c>
      <c r="D37" s="232" t="s">
        <v>111</v>
      </c>
      <c r="E37" s="232" t="s">
        <v>113</v>
      </c>
      <c r="F37" s="233">
        <f>SUM(F33:F36)</f>
        <v>12868.777989</v>
      </c>
    </row>
    <row r="38" s="192" customFormat="1" ht="18" customHeight="1" spans="1:6">
      <c r="A38" s="234" t="s">
        <v>114</v>
      </c>
      <c r="B38" s="234" t="s">
        <v>5</v>
      </c>
      <c r="C38" s="234" t="s">
        <v>5</v>
      </c>
      <c r="D38" s="234" t="s">
        <v>5</v>
      </c>
      <c r="E38" s="234" t="s">
        <v>5</v>
      </c>
      <c r="F38" s="234" t="s">
        <v>5</v>
      </c>
    </row>
    <row r="39" s="192" customFormat="1" ht="18" customHeight="1" spans="1:6">
      <c r="A39" s="234" t="s">
        <v>115</v>
      </c>
      <c r="B39" s="234" t="s">
        <v>5</v>
      </c>
      <c r="C39" s="234" t="s">
        <v>5</v>
      </c>
      <c r="D39" s="234" t="s">
        <v>5</v>
      </c>
      <c r="E39" s="234" t="s">
        <v>5</v>
      </c>
      <c r="F39" s="234" t="s">
        <v>5</v>
      </c>
    </row>
    <row r="41" spans="1:6">
      <c r="C41" s="42" t="s">
        <v>116</v>
      </c>
    </row>
  </sheetData>
  <mergeCells count="19">
    <mergeCell ref="A1:F1"/>
    <mergeCell ref="A4:C4"/>
    <mergeCell ref="A4:C4"/>
    <mergeCell ref="A4:C4"/>
    <mergeCell ref="D4:F4"/>
    <mergeCell ref="D4:F4"/>
    <mergeCell ref="D4:F4"/>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0"/>
  <sheetViews>
    <sheetView zoomScale="110" zoomScaleNormal="110" zoomScaleSheetLayoutView="60" workbookViewId="0">
      <pane xSplit="4" ySplit="8" topLeftCell="E43" activePane="bottomRight" state="frozen"/>
      <selection/>
      <selection pane="topRight"/>
      <selection pane="bottomLeft"/>
      <selection pane="bottomRight" activeCell="F9" sqref="F9"/>
    </sheetView>
  </sheetViews>
  <sheetFormatPr defaultColWidth="8.88571428571429" defaultRowHeight="12.75"/>
  <cols>
    <col min="1" max="1" width="4" style="155" customWidth="1"/>
    <col min="2" max="2" width="3.28571428571429" style="155" customWidth="1"/>
    <col min="3" max="3" width="3.42857142857143" style="155" customWidth="1"/>
    <col min="4" max="4" width="42.2857142857143" style="155" customWidth="1"/>
    <col min="5" max="6" width="17.1333333333333" style="155" customWidth="1"/>
    <col min="7" max="7" width="12.7142857142857" style="155" customWidth="1"/>
    <col min="8" max="8" width="17.1333333333333" style="155" customWidth="1"/>
    <col min="9" max="9" width="16.4285714285714" style="155" customWidth="1"/>
    <col min="10" max="10" width="15.847619047619" style="155" customWidth="1"/>
    <col min="11" max="11" width="16.2857142857143" style="155" customWidth="1"/>
    <col min="12" max="12" width="9.76190476190476" style="155"/>
    <col min="13" max="16384" width="8.88571428571429" style="155"/>
  </cols>
  <sheetData>
    <row r="1" s="152" customFormat="1" ht="22" customHeight="1" spans="1:12">
      <c r="A1" s="156" t="s">
        <v>117</v>
      </c>
      <c r="B1" s="157"/>
      <c r="C1" s="157"/>
      <c r="D1" s="157"/>
      <c r="E1" s="157"/>
      <c r="F1" s="156" t="s">
        <v>117</v>
      </c>
      <c r="G1" s="157"/>
      <c r="H1" s="157"/>
      <c r="I1" s="157"/>
      <c r="J1" s="157"/>
      <c r="K1" s="157"/>
    </row>
    <row r="2" s="153" customFormat="1" ht="21" customHeight="1" spans="1:12">
      <c r="K2" s="158" t="s">
        <v>118</v>
      </c>
    </row>
    <row r="3" s="153" customFormat="1" ht="21" customHeight="1" spans="1:12">
      <c r="A3" s="153" t="str">
        <f>收入支出决算总表!A3</f>
        <v>部门：岳阳县自然资源局</v>
      </c>
      <c r="K3" s="158" t="s">
        <v>3</v>
      </c>
    </row>
    <row r="4" s="154" customFormat="1" ht="21" customHeight="1" spans="1:12">
      <c r="A4" s="159" t="s">
        <v>7</v>
      </c>
      <c r="B4" s="160" t="s">
        <v>5</v>
      </c>
      <c r="C4" s="160" t="s">
        <v>5</v>
      </c>
      <c r="D4" s="160" t="s">
        <v>119</v>
      </c>
      <c r="E4" s="161" t="s">
        <v>97</v>
      </c>
      <c r="F4" s="161" t="s">
        <v>120</v>
      </c>
      <c r="G4" s="161" t="s">
        <v>121</v>
      </c>
      <c r="H4" s="161" t="s">
        <v>122</v>
      </c>
      <c r="I4" s="161" t="s">
        <v>123</v>
      </c>
      <c r="J4" s="161" t="s">
        <v>124</v>
      </c>
      <c r="K4" s="161" t="s">
        <v>125</v>
      </c>
    </row>
    <row r="5" s="154" customFormat="1" ht="15" customHeight="1" spans="1:12">
      <c r="A5" s="162" t="s">
        <v>126</v>
      </c>
      <c r="B5" s="163" t="s">
        <v>5</v>
      </c>
      <c r="C5" s="163" t="s">
        <v>5</v>
      </c>
      <c r="D5" s="164" t="s">
        <v>119</v>
      </c>
      <c r="E5" s="163" t="s">
        <v>5</v>
      </c>
      <c r="F5" s="163" t="s">
        <v>5</v>
      </c>
      <c r="G5" s="163" t="s">
        <v>5</v>
      </c>
      <c r="H5" s="163" t="s">
        <v>5</v>
      </c>
      <c r="I5" s="163" t="s">
        <v>5</v>
      </c>
      <c r="J5" s="163" t="s">
        <v>5</v>
      </c>
      <c r="K5" s="163" t="s">
        <v>127</v>
      </c>
    </row>
    <row r="6" s="154" customFormat="1" ht="12" customHeight="1" spans="1:12">
      <c r="A6" s="162" t="s">
        <v>5</v>
      </c>
      <c r="B6" s="163" t="s">
        <v>5</v>
      </c>
      <c r="C6" s="163" t="s">
        <v>5</v>
      </c>
      <c r="D6" s="164" t="s">
        <v>5</v>
      </c>
      <c r="E6" s="163" t="s">
        <v>5</v>
      </c>
      <c r="F6" s="163" t="s">
        <v>5</v>
      </c>
      <c r="G6" s="163" t="s">
        <v>5</v>
      </c>
      <c r="H6" s="163" t="s">
        <v>5</v>
      </c>
      <c r="I6" s="163" t="s">
        <v>5</v>
      </c>
      <c r="J6" s="163" t="s">
        <v>5</v>
      </c>
      <c r="K6" s="163" t="s">
        <v>5</v>
      </c>
    </row>
    <row r="7" s="154" customFormat="1" ht="10" customHeight="1" spans="1:12">
      <c r="A7" s="162" t="s">
        <v>5</v>
      </c>
      <c r="B7" s="163" t="s">
        <v>5</v>
      </c>
      <c r="C7" s="163" t="s">
        <v>5</v>
      </c>
      <c r="D7" s="164" t="s">
        <v>5</v>
      </c>
      <c r="E7" s="163" t="s">
        <v>5</v>
      </c>
      <c r="F7" s="163" t="s">
        <v>5</v>
      </c>
      <c r="G7" s="163" t="s">
        <v>5</v>
      </c>
      <c r="H7" s="163" t="s">
        <v>5</v>
      </c>
      <c r="I7" s="163" t="s">
        <v>5</v>
      </c>
      <c r="J7" s="163" t="s">
        <v>5</v>
      </c>
      <c r="K7" s="163" t="s">
        <v>5</v>
      </c>
    </row>
    <row r="8" s="154" customFormat="1" ht="21" customHeight="1" spans="1:12">
      <c r="A8" s="165" t="s">
        <v>10</v>
      </c>
      <c r="B8" s="165" t="s">
        <v>128</v>
      </c>
      <c r="C8" s="165" t="s">
        <v>129</v>
      </c>
      <c r="D8" s="165" t="s">
        <v>10</v>
      </c>
      <c r="E8" s="166" t="s">
        <v>11</v>
      </c>
      <c r="F8" s="166" t="s">
        <v>12</v>
      </c>
      <c r="G8" s="166" t="s">
        <v>20</v>
      </c>
      <c r="H8" s="166" t="s">
        <v>24</v>
      </c>
      <c r="I8" s="166" t="s">
        <v>28</v>
      </c>
      <c r="J8" s="166" t="s">
        <v>32</v>
      </c>
      <c r="K8" s="167" t="s">
        <v>36</v>
      </c>
      <c r="L8" s="168"/>
    </row>
    <row r="9" s="154" customFormat="1" ht="21" customHeight="1" spans="1:12">
      <c r="A9" s="169" t="s">
        <v>130</v>
      </c>
      <c r="B9" s="169" t="s">
        <v>5</v>
      </c>
      <c r="C9" s="169" t="s">
        <v>5</v>
      </c>
      <c r="D9" s="169" t="s">
        <v>130</v>
      </c>
      <c r="E9" s="170">
        <f t="shared" ref="E9:E19" si="0">SUM(F9:K9)</f>
        <v>11084.580255</v>
      </c>
      <c r="F9" s="170">
        <f t="shared" ref="F9:K9" si="1">F10+F13+F22+F29+F35+F38+F47+F50+F53+F26</f>
        <v>8674.836476</v>
      </c>
      <c r="G9" s="170">
        <f t="shared" si="1"/>
        <v>0</v>
      </c>
      <c r="H9" s="170">
        <f t="shared" si="1"/>
        <v>0</v>
      </c>
      <c r="I9" s="170">
        <f t="shared" si="1"/>
        <v>0</v>
      </c>
      <c r="J9" s="170">
        <f t="shared" si="1"/>
        <v>0</v>
      </c>
      <c r="K9" s="170">
        <f t="shared" si="1"/>
        <v>2409.743779</v>
      </c>
      <c r="L9" s="168"/>
    </row>
    <row r="10" s="154" customFormat="1" ht="21" customHeight="1" spans="1:12">
      <c r="A10" s="171">
        <v>206</v>
      </c>
      <c r="B10" s="172"/>
      <c r="C10" s="173"/>
      <c r="D10" s="174" t="s">
        <v>131</v>
      </c>
      <c r="E10" s="170">
        <f t="shared" si="0"/>
        <v>94</v>
      </c>
      <c r="F10" s="170">
        <f t="shared" ref="F10:K10" si="2">F11</f>
        <v>94</v>
      </c>
      <c r="G10" s="170">
        <f t="shared" si="2"/>
        <v>0</v>
      </c>
      <c r="H10" s="170">
        <f t="shared" si="2"/>
        <v>0</v>
      </c>
      <c r="I10" s="170">
        <f t="shared" si="2"/>
        <v>0</v>
      </c>
      <c r="J10" s="170">
        <f t="shared" si="2"/>
        <v>0</v>
      </c>
      <c r="K10" s="170">
        <f t="shared" si="2"/>
        <v>0</v>
      </c>
      <c r="L10" s="168"/>
    </row>
    <row r="11" s="153" customFormat="1" ht="21" customHeight="1" spans="1:12">
      <c r="A11" s="175">
        <v>20604</v>
      </c>
      <c r="B11" s="176"/>
      <c r="C11" s="177"/>
      <c r="D11" s="178" t="s">
        <v>132</v>
      </c>
      <c r="E11" s="179">
        <f t="shared" si="0"/>
        <v>94</v>
      </c>
      <c r="F11" s="179">
        <f t="shared" ref="F11:K11" si="3">F12</f>
        <v>94</v>
      </c>
      <c r="G11" s="179">
        <f t="shared" si="3"/>
        <v>0</v>
      </c>
      <c r="H11" s="179">
        <f t="shared" si="3"/>
        <v>0</v>
      </c>
      <c r="I11" s="179">
        <f t="shared" si="3"/>
        <v>0</v>
      </c>
      <c r="J11" s="179">
        <f t="shared" si="3"/>
        <v>0</v>
      </c>
      <c r="K11" s="179">
        <f t="shared" si="3"/>
        <v>0</v>
      </c>
      <c r="L11" s="180"/>
    </row>
    <row r="12" s="153" customFormat="1" ht="21" customHeight="1" spans="1:12">
      <c r="A12" s="181" t="s">
        <v>133</v>
      </c>
      <c r="B12" s="182"/>
      <c r="C12" s="183"/>
      <c r="D12" s="178" t="s">
        <v>134</v>
      </c>
      <c r="E12" s="179">
        <f t="shared" si="0"/>
        <v>94</v>
      </c>
      <c r="F12" s="179">
        <f>940000/10000</f>
        <v>94</v>
      </c>
      <c r="G12" s="179">
        <v>0</v>
      </c>
      <c r="H12" s="179">
        <v>0</v>
      </c>
      <c r="I12" s="179">
        <v>0</v>
      </c>
      <c r="J12" s="179">
        <v>0</v>
      </c>
      <c r="K12" s="184">
        <v>0</v>
      </c>
      <c r="L12" s="180"/>
    </row>
    <row r="13" s="154" customFormat="1" ht="21" customHeight="1" spans="1:12">
      <c r="A13" s="185" t="s">
        <v>135</v>
      </c>
      <c r="B13" s="185"/>
      <c r="C13" s="185"/>
      <c r="D13" s="185" t="s">
        <v>136</v>
      </c>
      <c r="E13" s="170">
        <f t="shared" si="0"/>
        <v>370.194492</v>
      </c>
      <c r="F13" s="170">
        <f t="shared" ref="F13:K13" si="4">F14+F16+F18+F20</f>
        <v>370.194492</v>
      </c>
      <c r="G13" s="170">
        <f t="shared" si="4"/>
        <v>0</v>
      </c>
      <c r="H13" s="170">
        <f t="shared" si="4"/>
        <v>0</v>
      </c>
      <c r="I13" s="170">
        <f t="shared" si="4"/>
        <v>0</v>
      </c>
      <c r="J13" s="170">
        <f t="shared" si="4"/>
        <v>0</v>
      </c>
      <c r="K13" s="170">
        <f t="shared" si="4"/>
        <v>0</v>
      </c>
      <c r="L13" s="168"/>
    </row>
    <row r="14" s="153" customFormat="1" ht="21" customHeight="1" spans="1:12">
      <c r="A14" s="186" t="s">
        <v>137</v>
      </c>
      <c r="B14" s="186"/>
      <c r="C14" s="186"/>
      <c r="D14" s="186" t="s">
        <v>138</v>
      </c>
      <c r="E14" s="179">
        <f t="shared" si="0"/>
        <v>337.420416</v>
      </c>
      <c r="F14" s="179">
        <f t="shared" ref="F14:K14" si="5">F15</f>
        <v>337.420416</v>
      </c>
      <c r="G14" s="179">
        <f t="shared" si="5"/>
        <v>0</v>
      </c>
      <c r="H14" s="179">
        <f t="shared" si="5"/>
        <v>0</v>
      </c>
      <c r="I14" s="179">
        <f t="shared" si="5"/>
        <v>0</v>
      </c>
      <c r="J14" s="179">
        <f t="shared" si="5"/>
        <v>0</v>
      </c>
      <c r="K14" s="179">
        <f t="shared" si="5"/>
        <v>0</v>
      </c>
      <c r="L14" s="180"/>
    </row>
    <row r="15" s="153" customFormat="1" ht="21" customHeight="1" spans="1:12">
      <c r="A15" s="186" t="s">
        <v>139</v>
      </c>
      <c r="B15" s="186"/>
      <c r="C15" s="186"/>
      <c r="D15" s="186" t="s">
        <v>140</v>
      </c>
      <c r="E15" s="179">
        <f t="shared" si="0"/>
        <v>337.420416</v>
      </c>
      <c r="F15" s="179">
        <f>3374204.16/10000</f>
        <v>337.420416</v>
      </c>
      <c r="G15" s="179">
        <v>0</v>
      </c>
      <c r="H15" s="179">
        <v>0</v>
      </c>
      <c r="I15" s="179">
        <v>0</v>
      </c>
      <c r="J15" s="179">
        <v>0</v>
      </c>
      <c r="K15" s="184">
        <v>0</v>
      </c>
      <c r="L15" s="180"/>
    </row>
    <row r="16" s="153" customFormat="1" ht="21" customHeight="1" spans="1:12">
      <c r="A16" s="186" t="s">
        <v>141</v>
      </c>
      <c r="B16" s="186"/>
      <c r="C16" s="186"/>
      <c r="D16" s="186" t="s">
        <v>142</v>
      </c>
      <c r="E16" s="179">
        <f t="shared" si="0"/>
        <v>3.39</v>
      </c>
      <c r="F16" s="179">
        <f t="shared" ref="F16:K16" si="6">F17</f>
        <v>3.39</v>
      </c>
      <c r="G16" s="179">
        <f t="shared" si="6"/>
        <v>0</v>
      </c>
      <c r="H16" s="179">
        <f t="shared" si="6"/>
        <v>0</v>
      </c>
      <c r="I16" s="179">
        <f t="shared" si="6"/>
        <v>0</v>
      </c>
      <c r="J16" s="179">
        <f t="shared" si="6"/>
        <v>0</v>
      </c>
      <c r="K16" s="179">
        <f t="shared" si="6"/>
        <v>0</v>
      </c>
      <c r="L16" s="180"/>
    </row>
    <row r="17" s="153" customFormat="1" ht="21" customHeight="1" spans="1:12">
      <c r="A17" s="186" t="s">
        <v>143</v>
      </c>
      <c r="B17" s="186"/>
      <c r="C17" s="186"/>
      <c r="D17" s="186" t="s">
        <v>144</v>
      </c>
      <c r="E17" s="179">
        <f t="shared" si="0"/>
        <v>3.39</v>
      </c>
      <c r="F17" s="179">
        <f>33900/10000</f>
        <v>3.39</v>
      </c>
      <c r="G17" s="179">
        <v>0</v>
      </c>
      <c r="H17" s="179">
        <v>0</v>
      </c>
      <c r="I17" s="179">
        <v>0</v>
      </c>
      <c r="J17" s="179">
        <v>0</v>
      </c>
      <c r="K17" s="184">
        <v>0</v>
      </c>
      <c r="L17" s="180"/>
    </row>
    <row r="18" s="153" customFormat="1" ht="21" customHeight="1" spans="1:12">
      <c r="A18" s="181">
        <v>20811</v>
      </c>
      <c r="B18" s="182"/>
      <c r="C18" s="183"/>
      <c r="D18" s="186" t="s">
        <v>145</v>
      </c>
      <c r="E18" s="179">
        <f t="shared" si="0"/>
        <v>8.2953</v>
      </c>
      <c r="F18" s="179">
        <f t="shared" ref="F18:K18" si="7">F19</f>
        <v>8.2953</v>
      </c>
      <c r="G18" s="179">
        <f t="shared" si="7"/>
        <v>0</v>
      </c>
      <c r="H18" s="179">
        <f t="shared" si="7"/>
        <v>0</v>
      </c>
      <c r="I18" s="179">
        <f t="shared" si="7"/>
        <v>0</v>
      </c>
      <c r="J18" s="179">
        <f t="shared" si="7"/>
        <v>0</v>
      </c>
      <c r="K18" s="179">
        <f t="shared" si="7"/>
        <v>0</v>
      </c>
      <c r="L18" s="180"/>
    </row>
    <row r="19" s="153" customFormat="1" ht="21" customHeight="1" spans="1:12">
      <c r="A19" s="181">
        <v>2081199</v>
      </c>
      <c r="B19" s="182"/>
      <c r="C19" s="183"/>
      <c r="D19" s="186" t="s">
        <v>146</v>
      </c>
      <c r="E19" s="179">
        <f t="shared" si="0"/>
        <v>8.2953</v>
      </c>
      <c r="F19" s="179">
        <f>82953/10000</f>
        <v>8.2953</v>
      </c>
      <c r="G19" s="179">
        <v>0</v>
      </c>
      <c r="H19" s="179">
        <v>0</v>
      </c>
      <c r="I19" s="179">
        <v>0</v>
      </c>
      <c r="J19" s="179">
        <v>0</v>
      </c>
      <c r="K19" s="184">
        <v>0</v>
      </c>
      <c r="L19" s="180"/>
    </row>
    <row r="20" s="153" customFormat="1" ht="21" customHeight="1" spans="1:12">
      <c r="A20" s="186" t="s">
        <v>147</v>
      </c>
      <c r="B20" s="186"/>
      <c r="C20" s="186"/>
      <c r="D20" s="186" t="s">
        <v>148</v>
      </c>
      <c r="E20" s="179">
        <f t="shared" ref="E20:E49" si="8">SUM(F20:K20)</f>
        <v>21.088776</v>
      </c>
      <c r="F20" s="179">
        <f t="shared" ref="F20:K20" si="9">F21</f>
        <v>21.088776</v>
      </c>
      <c r="G20" s="179">
        <f t="shared" si="9"/>
        <v>0</v>
      </c>
      <c r="H20" s="179">
        <f t="shared" si="9"/>
        <v>0</v>
      </c>
      <c r="I20" s="179">
        <f t="shared" si="9"/>
        <v>0</v>
      </c>
      <c r="J20" s="179">
        <f t="shared" si="9"/>
        <v>0</v>
      </c>
      <c r="K20" s="179">
        <f t="shared" si="9"/>
        <v>0</v>
      </c>
      <c r="L20" s="180"/>
    </row>
    <row r="21" s="153" customFormat="1" ht="21" customHeight="1" spans="1:12">
      <c r="A21" s="186" t="s">
        <v>149</v>
      </c>
      <c r="B21" s="186"/>
      <c r="C21" s="186"/>
      <c r="D21" s="186" t="s">
        <v>148</v>
      </c>
      <c r="E21" s="179">
        <f t="shared" si="8"/>
        <v>21.088776</v>
      </c>
      <c r="F21" s="179">
        <f>210887.76/10000</f>
        <v>21.088776</v>
      </c>
      <c r="G21" s="179">
        <v>0</v>
      </c>
      <c r="H21" s="179">
        <v>0</v>
      </c>
      <c r="I21" s="179">
        <v>0</v>
      </c>
      <c r="J21" s="179">
        <v>0</v>
      </c>
      <c r="K21" s="184">
        <v>0</v>
      </c>
      <c r="L21" s="180"/>
    </row>
    <row r="22" s="154" customFormat="1" ht="21" customHeight="1" spans="1:12">
      <c r="A22" s="185" t="s">
        <v>150</v>
      </c>
      <c r="B22" s="185"/>
      <c r="C22" s="185"/>
      <c r="D22" s="185" t="s">
        <v>151</v>
      </c>
      <c r="E22" s="170">
        <f t="shared" si="8"/>
        <v>200.343372</v>
      </c>
      <c r="F22" s="170">
        <f t="shared" ref="F22:K22" si="10">F23</f>
        <v>200.343372</v>
      </c>
      <c r="G22" s="170">
        <f t="shared" si="10"/>
        <v>0</v>
      </c>
      <c r="H22" s="170">
        <f t="shared" si="10"/>
        <v>0</v>
      </c>
      <c r="I22" s="170">
        <f t="shared" si="10"/>
        <v>0</v>
      </c>
      <c r="J22" s="170">
        <f t="shared" si="10"/>
        <v>0</v>
      </c>
      <c r="K22" s="170">
        <f t="shared" si="10"/>
        <v>0</v>
      </c>
      <c r="L22" s="168"/>
    </row>
    <row r="23" s="153" customFormat="1" ht="21" customHeight="1" spans="1:12">
      <c r="A23" s="186" t="s">
        <v>152</v>
      </c>
      <c r="B23" s="186"/>
      <c r="C23" s="186"/>
      <c r="D23" s="186" t="s">
        <v>153</v>
      </c>
      <c r="E23" s="179">
        <f t="shared" si="8"/>
        <v>200.343372</v>
      </c>
      <c r="F23" s="179">
        <f>F24+F25</f>
        <v>200.343372</v>
      </c>
      <c r="G23" s="179">
        <f t="shared" ref="F23:K23" si="11">G24</f>
        <v>0</v>
      </c>
      <c r="H23" s="179">
        <f t="shared" si="11"/>
        <v>0</v>
      </c>
      <c r="I23" s="179">
        <f t="shared" si="11"/>
        <v>0</v>
      </c>
      <c r="J23" s="179">
        <f t="shared" si="11"/>
        <v>0</v>
      </c>
      <c r="K23" s="179">
        <f t="shared" si="11"/>
        <v>0</v>
      </c>
      <c r="L23" s="180"/>
    </row>
    <row r="24" s="153" customFormat="1" ht="21" customHeight="1" spans="1:12">
      <c r="A24" s="186" t="s">
        <v>154</v>
      </c>
      <c r="B24" s="186"/>
      <c r="C24" s="186"/>
      <c r="D24" s="186" t="s">
        <v>155</v>
      </c>
      <c r="E24" s="179">
        <f t="shared" si="8"/>
        <v>179.254596</v>
      </c>
      <c r="F24" s="179">
        <f>1792545.96/10000</f>
        <v>179.254596</v>
      </c>
      <c r="G24" s="179">
        <v>0</v>
      </c>
      <c r="H24" s="179">
        <v>0</v>
      </c>
      <c r="I24" s="179">
        <v>0</v>
      </c>
      <c r="J24" s="179">
        <v>0</v>
      </c>
      <c r="K24" s="184">
        <v>0</v>
      </c>
      <c r="L24" s="180"/>
    </row>
    <row r="25" s="153" customFormat="1" ht="21" customHeight="1" spans="1:12">
      <c r="A25" s="186">
        <v>2101103</v>
      </c>
      <c r="B25" s="186"/>
      <c r="C25" s="186"/>
      <c r="D25" s="186" t="s">
        <v>156</v>
      </c>
      <c r="E25" s="179">
        <f t="shared" si="8"/>
        <v>21.088776</v>
      </c>
      <c r="F25" s="179">
        <f>210887.76/10000</f>
        <v>21.088776</v>
      </c>
      <c r="G25" s="179">
        <v>0</v>
      </c>
      <c r="H25" s="179">
        <v>0</v>
      </c>
      <c r="I25" s="179">
        <v>0</v>
      </c>
      <c r="J25" s="179">
        <v>0</v>
      </c>
      <c r="K25" s="179">
        <v>0</v>
      </c>
      <c r="L25" s="180"/>
    </row>
    <row r="26" s="153" customFormat="1" ht="21" customHeight="1" spans="1:12">
      <c r="A26" s="185">
        <v>211</v>
      </c>
      <c r="B26" s="185"/>
      <c r="C26" s="185"/>
      <c r="D26" s="185" t="s">
        <v>157</v>
      </c>
      <c r="E26" s="170">
        <f t="shared" si="8"/>
        <v>90</v>
      </c>
      <c r="F26" s="170">
        <f t="shared" ref="F26:K26" si="12">F27</f>
        <v>90</v>
      </c>
      <c r="G26" s="170">
        <f t="shared" si="12"/>
        <v>0</v>
      </c>
      <c r="H26" s="170">
        <f t="shared" si="12"/>
        <v>0</v>
      </c>
      <c r="I26" s="170">
        <f t="shared" si="12"/>
        <v>0</v>
      </c>
      <c r="J26" s="170">
        <f t="shared" si="12"/>
        <v>0</v>
      </c>
      <c r="K26" s="170">
        <f t="shared" si="12"/>
        <v>0</v>
      </c>
      <c r="L26" s="180"/>
    </row>
    <row r="27" s="153" customFormat="1" ht="21" customHeight="1" spans="1:12">
      <c r="A27" s="181">
        <v>21104</v>
      </c>
      <c r="B27" s="182"/>
      <c r="C27" s="183"/>
      <c r="D27" s="186" t="s">
        <v>158</v>
      </c>
      <c r="E27" s="179">
        <f t="shared" si="8"/>
        <v>90</v>
      </c>
      <c r="F27" s="179">
        <f t="shared" ref="F27:K27" si="13">F28</f>
        <v>90</v>
      </c>
      <c r="G27" s="179">
        <f t="shared" si="13"/>
        <v>0</v>
      </c>
      <c r="H27" s="179">
        <f t="shared" si="13"/>
        <v>0</v>
      </c>
      <c r="I27" s="179">
        <f t="shared" si="13"/>
        <v>0</v>
      </c>
      <c r="J27" s="179">
        <f t="shared" si="13"/>
        <v>0</v>
      </c>
      <c r="K27" s="179">
        <f t="shared" si="13"/>
        <v>0</v>
      </c>
      <c r="L27" s="180"/>
    </row>
    <row r="28" s="153" customFormat="1" ht="21" customHeight="1" spans="1:12">
      <c r="A28" s="181" t="s">
        <v>159</v>
      </c>
      <c r="B28" s="182"/>
      <c r="C28" s="183"/>
      <c r="D28" s="186" t="s">
        <v>160</v>
      </c>
      <c r="E28" s="179">
        <f t="shared" si="8"/>
        <v>90</v>
      </c>
      <c r="F28" s="179">
        <f>900000/10000</f>
        <v>90</v>
      </c>
      <c r="G28" s="179">
        <v>0</v>
      </c>
      <c r="H28" s="179">
        <v>0</v>
      </c>
      <c r="I28" s="179">
        <v>0</v>
      </c>
      <c r="J28" s="179">
        <v>0</v>
      </c>
      <c r="K28" s="184">
        <v>0</v>
      </c>
      <c r="L28" s="180"/>
    </row>
    <row r="29" s="154" customFormat="1" ht="21" customHeight="1" spans="1:12">
      <c r="A29" s="185" t="s">
        <v>161</v>
      </c>
      <c r="B29" s="185"/>
      <c r="C29" s="185"/>
      <c r="D29" s="185" t="s">
        <v>162</v>
      </c>
      <c r="E29" s="170">
        <f t="shared" si="8"/>
        <v>252.70816</v>
      </c>
      <c r="F29" s="170">
        <f>F30+F32</f>
        <v>252.70816</v>
      </c>
      <c r="G29" s="170">
        <f t="shared" ref="F29:K29" si="14">G32</f>
        <v>0</v>
      </c>
      <c r="H29" s="170">
        <f t="shared" si="14"/>
        <v>0</v>
      </c>
      <c r="I29" s="170">
        <f t="shared" si="14"/>
        <v>0</v>
      </c>
      <c r="J29" s="170">
        <f t="shared" si="14"/>
        <v>0</v>
      </c>
      <c r="K29" s="170">
        <f t="shared" si="14"/>
        <v>0</v>
      </c>
      <c r="L29" s="168"/>
    </row>
    <row r="30" s="154" customFormat="1" ht="21" customHeight="1" spans="1:12">
      <c r="A30" s="181">
        <v>21201</v>
      </c>
      <c r="B30" s="182"/>
      <c r="C30" s="183"/>
      <c r="D30" s="186" t="s">
        <v>163</v>
      </c>
      <c r="E30" s="179">
        <f t="shared" si="8"/>
        <v>30</v>
      </c>
      <c r="F30" s="179">
        <f>F31</f>
        <v>30</v>
      </c>
      <c r="G30" s="179">
        <v>0</v>
      </c>
      <c r="H30" s="179">
        <v>0</v>
      </c>
      <c r="I30" s="179">
        <v>0</v>
      </c>
      <c r="J30" s="179">
        <v>0</v>
      </c>
      <c r="K30" s="179">
        <v>0</v>
      </c>
      <c r="L30" s="168"/>
    </row>
    <row r="31" s="154" customFormat="1" ht="21" customHeight="1" spans="1:12">
      <c r="A31" s="181" t="s">
        <v>164</v>
      </c>
      <c r="B31" s="182"/>
      <c r="C31" s="183"/>
      <c r="D31" s="186" t="s">
        <v>165</v>
      </c>
      <c r="E31" s="179">
        <f t="shared" si="8"/>
        <v>30</v>
      </c>
      <c r="F31" s="179">
        <f>300000/10000</f>
        <v>30</v>
      </c>
      <c r="G31" s="179">
        <v>0</v>
      </c>
      <c r="H31" s="179">
        <v>0</v>
      </c>
      <c r="I31" s="179">
        <v>0</v>
      </c>
      <c r="J31" s="179">
        <v>0</v>
      </c>
      <c r="K31" s="179">
        <v>0</v>
      </c>
      <c r="L31" s="168"/>
    </row>
    <row r="32" s="153" customFormat="1" ht="21" customHeight="1" spans="1:12">
      <c r="A32" s="186" t="s">
        <v>166</v>
      </c>
      <c r="B32" s="186"/>
      <c r="C32" s="186"/>
      <c r="D32" s="186" t="s">
        <v>167</v>
      </c>
      <c r="E32" s="179">
        <f t="shared" si="8"/>
        <v>222.70816</v>
      </c>
      <c r="F32" s="179">
        <f t="shared" ref="F32:K32" si="15">SUM(F33:F34)</f>
        <v>222.70816</v>
      </c>
      <c r="G32" s="179">
        <f t="shared" si="15"/>
        <v>0</v>
      </c>
      <c r="H32" s="179">
        <f t="shared" si="15"/>
        <v>0</v>
      </c>
      <c r="I32" s="179">
        <f t="shared" si="15"/>
        <v>0</v>
      </c>
      <c r="J32" s="179">
        <f t="shared" si="15"/>
        <v>0</v>
      </c>
      <c r="K32" s="179">
        <f t="shared" si="15"/>
        <v>0</v>
      </c>
      <c r="L32" s="180"/>
    </row>
    <row r="33" s="153" customFormat="1" ht="21" customHeight="1" spans="1:12">
      <c r="A33" s="186" t="s">
        <v>168</v>
      </c>
      <c r="B33" s="186"/>
      <c r="C33" s="186"/>
      <c r="D33" s="186" t="s">
        <v>169</v>
      </c>
      <c r="E33" s="179">
        <f t="shared" si="8"/>
        <v>2.5109</v>
      </c>
      <c r="F33" s="179">
        <f>25109/10000</f>
        <v>2.5109</v>
      </c>
      <c r="G33" s="179">
        <v>0</v>
      </c>
      <c r="H33" s="179">
        <v>0</v>
      </c>
      <c r="I33" s="179">
        <v>0</v>
      </c>
      <c r="J33" s="179">
        <v>0</v>
      </c>
      <c r="K33" s="184">
        <v>0</v>
      </c>
      <c r="L33" s="180"/>
    </row>
    <row r="34" s="153" customFormat="1" ht="21" customHeight="1" spans="1:12">
      <c r="A34" s="186" t="s">
        <v>170</v>
      </c>
      <c r="B34" s="186"/>
      <c r="C34" s="186"/>
      <c r="D34" s="186" t="s">
        <v>171</v>
      </c>
      <c r="E34" s="179">
        <f t="shared" si="8"/>
        <v>220.19726</v>
      </c>
      <c r="F34" s="179">
        <f>2201972.6/10000</f>
        <v>220.19726</v>
      </c>
      <c r="G34" s="179">
        <v>0</v>
      </c>
      <c r="H34" s="179">
        <v>0</v>
      </c>
      <c r="I34" s="179">
        <v>0</v>
      </c>
      <c r="J34" s="179">
        <v>0</v>
      </c>
      <c r="K34" s="184">
        <v>0</v>
      </c>
      <c r="L34" s="180"/>
    </row>
    <row r="35" s="154" customFormat="1" ht="21" customHeight="1" spans="1:12">
      <c r="A35" s="185">
        <v>213</v>
      </c>
      <c r="B35" s="185"/>
      <c r="C35" s="185"/>
      <c r="D35" s="185" t="s">
        <v>172</v>
      </c>
      <c r="E35" s="170">
        <f t="shared" si="8"/>
        <v>116.961</v>
      </c>
      <c r="F35" s="170">
        <f t="shared" ref="F35:K35" si="16">F36</f>
        <v>116.961</v>
      </c>
      <c r="G35" s="170">
        <f t="shared" si="16"/>
        <v>0</v>
      </c>
      <c r="H35" s="170">
        <f t="shared" si="16"/>
        <v>0</v>
      </c>
      <c r="I35" s="170">
        <f t="shared" si="16"/>
        <v>0</v>
      </c>
      <c r="J35" s="170">
        <f t="shared" si="16"/>
        <v>0</v>
      </c>
      <c r="K35" s="170">
        <f t="shared" si="16"/>
        <v>0</v>
      </c>
      <c r="L35" s="168"/>
    </row>
    <row r="36" s="153" customFormat="1" ht="21" customHeight="1" spans="1:12">
      <c r="A36" s="186">
        <v>21301</v>
      </c>
      <c r="B36" s="186"/>
      <c r="C36" s="186"/>
      <c r="D36" s="186" t="s">
        <v>173</v>
      </c>
      <c r="E36" s="179">
        <f t="shared" si="8"/>
        <v>116.961</v>
      </c>
      <c r="F36" s="179">
        <f t="shared" ref="F36:K36" si="17">F37</f>
        <v>116.961</v>
      </c>
      <c r="G36" s="179">
        <f t="shared" si="17"/>
        <v>0</v>
      </c>
      <c r="H36" s="179">
        <f t="shared" si="17"/>
        <v>0</v>
      </c>
      <c r="I36" s="179">
        <f t="shared" si="17"/>
        <v>0</v>
      </c>
      <c r="J36" s="179">
        <f t="shared" si="17"/>
        <v>0</v>
      </c>
      <c r="K36" s="179">
        <f t="shared" si="17"/>
        <v>0</v>
      </c>
      <c r="L36" s="180"/>
    </row>
    <row r="37" s="153" customFormat="1" ht="21" customHeight="1" spans="1:12">
      <c r="A37" s="186" t="s">
        <v>174</v>
      </c>
      <c r="B37" s="186"/>
      <c r="C37" s="186"/>
      <c r="D37" s="186" t="s">
        <v>175</v>
      </c>
      <c r="E37" s="179">
        <f t="shared" si="8"/>
        <v>116.961</v>
      </c>
      <c r="F37" s="179">
        <f>1169610/10000</f>
        <v>116.961</v>
      </c>
      <c r="G37" s="179">
        <v>0</v>
      </c>
      <c r="H37" s="179">
        <v>0</v>
      </c>
      <c r="I37" s="179">
        <v>0</v>
      </c>
      <c r="J37" s="179">
        <v>0</v>
      </c>
      <c r="K37" s="184">
        <v>0</v>
      </c>
      <c r="L37" s="180"/>
    </row>
    <row r="38" s="154" customFormat="1" ht="21" customHeight="1" spans="1:12">
      <c r="A38" s="185" t="s">
        <v>176</v>
      </c>
      <c r="B38" s="185"/>
      <c r="C38" s="185"/>
      <c r="D38" s="185" t="s">
        <v>177</v>
      </c>
      <c r="E38" s="170">
        <f t="shared" si="8"/>
        <v>7037.280881</v>
      </c>
      <c r="F38" s="170">
        <f t="shared" ref="F38:K38" si="18">F39</f>
        <v>7037.280881</v>
      </c>
      <c r="G38" s="170">
        <f t="shared" si="18"/>
        <v>0</v>
      </c>
      <c r="H38" s="170">
        <f t="shared" si="18"/>
        <v>0</v>
      </c>
      <c r="I38" s="170">
        <f t="shared" si="18"/>
        <v>0</v>
      </c>
      <c r="J38" s="170">
        <f t="shared" si="18"/>
        <v>0</v>
      </c>
      <c r="K38" s="170">
        <f t="shared" si="18"/>
        <v>0</v>
      </c>
      <c r="L38" s="168"/>
    </row>
    <row r="39" s="153" customFormat="1" ht="21" customHeight="1" spans="1:12">
      <c r="A39" s="186" t="s">
        <v>178</v>
      </c>
      <c r="B39" s="186"/>
      <c r="C39" s="186"/>
      <c r="D39" s="186" t="s">
        <v>179</v>
      </c>
      <c r="E39" s="179">
        <f t="shared" si="8"/>
        <v>7037.280881</v>
      </c>
      <c r="F39" s="179">
        <f t="shared" ref="F39:K39" si="19">SUM(F40:F46)</f>
        <v>7037.280881</v>
      </c>
      <c r="G39" s="179">
        <f t="shared" si="19"/>
        <v>0</v>
      </c>
      <c r="H39" s="179">
        <f t="shared" si="19"/>
        <v>0</v>
      </c>
      <c r="I39" s="179">
        <f t="shared" si="19"/>
        <v>0</v>
      </c>
      <c r="J39" s="179">
        <f t="shared" si="19"/>
        <v>0</v>
      </c>
      <c r="K39" s="179">
        <f t="shared" si="19"/>
        <v>0</v>
      </c>
      <c r="L39" s="180"/>
    </row>
    <row r="40" s="153" customFormat="1" ht="21" customHeight="1" spans="1:12">
      <c r="A40" s="186" t="s">
        <v>180</v>
      </c>
      <c r="B40" s="186"/>
      <c r="C40" s="186"/>
      <c r="D40" s="186" t="s">
        <v>181</v>
      </c>
      <c r="E40" s="179">
        <f t="shared" si="8"/>
        <v>4018.284134</v>
      </c>
      <c r="F40" s="179">
        <f>40182841.34/10000</f>
        <v>4018.284134</v>
      </c>
      <c r="G40" s="179">
        <v>0</v>
      </c>
      <c r="H40" s="179">
        <v>0</v>
      </c>
      <c r="I40" s="179">
        <v>0</v>
      </c>
      <c r="J40" s="179">
        <v>0</v>
      </c>
      <c r="K40" s="184">
        <v>0</v>
      </c>
      <c r="L40" s="180"/>
    </row>
    <row r="41" s="153" customFormat="1" ht="21" customHeight="1" spans="1:12">
      <c r="A41" s="186" t="s">
        <v>182</v>
      </c>
      <c r="B41" s="186"/>
      <c r="C41" s="186"/>
      <c r="D41" s="186" t="s">
        <v>183</v>
      </c>
      <c r="E41" s="179">
        <f t="shared" si="8"/>
        <v>129</v>
      </c>
      <c r="F41" s="179">
        <f>1290000/10000</f>
        <v>129</v>
      </c>
      <c r="G41" s="179">
        <v>0</v>
      </c>
      <c r="H41" s="179">
        <v>0</v>
      </c>
      <c r="I41" s="179">
        <v>0</v>
      </c>
      <c r="J41" s="179">
        <v>0</v>
      </c>
      <c r="K41" s="184">
        <v>0</v>
      </c>
      <c r="L41" s="180"/>
    </row>
    <row r="42" s="153" customFormat="1" ht="21" customHeight="1" spans="1:12">
      <c r="A42" s="186" t="s">
        <v>184</v>
      </c>
      <c r="B42" s="186"/>
      <c r="C42" s="186"/>
      <c r="D42" s="186" t="s">
        <v>185</v>
      </c>
      <c r="E42" s="179">
        <f t="shared" si="8"/>
        <v>30.1805</v>
      </c>
      <c r="F42" s="179">
        <f>301805/10000</f>
        <v>30.1805</v>
      </c>
      <c r="G42" s="179">
        <v>0</v>
      </c>
      <c r="H42" s="179">
        <v>0</v>
      </c>
      <c r="I42" s="179">
        <v>0</v>
      </c>
      <c r="J42" s="179">
        <v>0</v>
      </c>
      <c r="K42" s="184">
        <v>0</v>
      </c>
      <c r="L42" s="180"/>
    </row>
    <row r="43" s="153" customFormat="1" ht="21" customHeight="1" spans="1:12">
      <c r="A43" s="181" t="s">
        <v>186</v>
      </c>
      <c r="B43" s="182"/>
      <c r="C43" s="183"/>
      <c r="D43" s="186" t="s">
        <v>187</v>
      </c>
      <c r="E43" s="179">
        <f t="shared" si="8"/>
        <v>50</v>
      </c>
      <c r="F43" s="179">
        <f>500000/10000</f>
        <v>50</v>
      </c>
      <c r="G43" s="179">
        <v>0</v>
      </c>
      <c r="H43" s="179">
        <v>0</v>
      </c>
      <c r="I43" s="179">
        <v>0</v>
      </c>
      <c r="J43" s="179">
        <v>0</v>
      </c>
      <c r="K43" s="184">
        <v>0</v>
      </c>
      <c r="L43" s="180"/>
    </row>
    <row r="44" s="153" customFormat="1" ht="21" customHeight="1" spans="1:12">
      <c r="A44" s="181" t="s">
        <v>188</v>
      </c>
      <c r="B44" s="182"/>
      <c r="C44" s="183"/>
      <c r="D44" s="186" t="s">
        <v>189</v>
      </c>
      <c r="E44" s="179">
        <f t="shared" si="8"/>
        <v>48.98</v>
      </c>
      <c r="F44" s="179">
        <f>489800/10000</f>
        <v>48.98</v>
      </c>
      <c r="G44" s="179">
        <v>0</v>
      </c>
      <c r="H44" s="179">
        <v>0</v>
      </c>
      <c r="I44" s="179">
        <v>0</v>
      </c>
      <c r="J44" s="179">
        <v>0</v>
      </c>
      <c r="K44" s="184">
        <v>0</v>
      </c>
      <c r="L44" s="180"/>
    </row>
    <row r="45" s="153" customFormat="1" ht="21" customHeight="1" spans="1:12">
      <c r="A45" s="181" t="s">
        <v>190</v>
      </c>
      <c r="B45" s="182"/>
      <c r="C45" s="183"/>
      <c r="D45" s="186" t="s">
        <v>191</v>
      </c>
      <c r="E45" s="179">
        <f t="shared" si="8"/>
        <v>48</v>
      </c>
      <c r="F45" s="179">
        <f>480000/10000</f>
        <v>48</v>
      </c>
      <c r="G45" s="179">
        <v>0</v>
      </c>
      <c r="H45" s="179">
        <v>0</v>
      </c>
      <c r="I45" s="179">
        <v>0</v>
      </c>
      <c r="J45" s="179">
        <v>0</v>
      </c>
      <c r="K45" s="184">
        <v>0</v>
      </c>
      <c r="L45" s="180"/>
    </row>
    <row r="46" s="153" customFormat="1" ht="21" customHeight="1" spans="1:12">
      <c r="A46" s="186" t="s">
        <v>192</v>
      </c>
      <c r="B46" s="186"/>
      <c r="C46" s="186"/>
      <c r="D46" s="186" t="s">
        <v>193</v>
      </c>
      <c r="E46" s="179">
        <f t="shared" si="8"/>
        <v>2712.836247</v>
      </c>
      <c r="F46" s="179">
        <f>27128362.47/10000</f>
        <v>2712.836247</v>
      </c>
      <c r="G46" s="179">
        <v>0</v>
      </c>
      <c r="H46" s="179">
        <v>0</v>
      </c>
      <c r="I46" s="179">
        <v>0</v>
      </c>
      <c r="J46" s="179">
        <v>0</v>
      </c>
      <c r="K46" s="184">
        <v>0</v>
      </c>
      <c r="L46" s="180"/>
    </row>
    <row r="47" s="154" customFormat="1" ht="21" customHeight="1" spans="1:12">
      <c r="A47" s="185" t="s">
        <v>194</v>
      </c>
      <c r="B47" s="185"/>
      <c r="C47" s="185"/>
      <c r="D47" s="185" t="s">
        <v>195</v>
      </c>
      <c r="E47" s="170">
        <f t="shared" si="8"/>
        <v>253.065312</v>
      </c>
      <c r="F47" s="170">
        <f t="shared" ref="F47:K47" si="20">F48</f>
        <v>253.065312</v>
      </c>
      <c r="G47" s="170">
        <f t="shared" si="20"/>
        <v>0</v>
      </c>
      <c r="H47" s="170">
        <f t="shared" si="20"/>
        <v>0</v>
      </c>
      <c r="I47" s="170">
        <f t="shared" si="20"/>
        <v>0</v>
      </c>
      <c r="J47" s="170">
        <f t="shared" si="20"/>
        <v>0</v>
      </c>
      <c r="K47" s="170">
        <f t="shared" si="20"/>
        <v>0</v>
      </c>
      <c r="L47" s="168"/>
    </row>
    <row r="48" s="153" customFormat="1" ht="21" customHeight="1" spans="1:12">
      <c r="A48" s="186" t="s">
        <v>196</v>
      </c>
      <c r="B48" s="186"/>
      <c r="C48" s="186"/>
      <c r="D48" s="186" t="s">
        <v>197</v>
      </c>
      <c r="E48" s="179">
        <f t="shared" si="8"/>
        <v>253.065312</v>
      </c>
      <c r="F48" s="179">
        <f t="shared" ref="F48:K48" si="21">F49</f>
        <v>253.065312</v>
      </c>
      <c r="G48" s="179">
        <f t="shared" si="21"/>
        <v>0</v>
      </c>
      <c r="H48" s="179">
        <f t="shared" si="21"/>
        <v>0</v>
      </c>
      <c r="I48" s="179">
        <f t="shared" si="21"/>
        <v>0</v>
      </c>
      <c r="J48" s="179">
        <f t="shared" si="21"/>
        <v>0</v>
      </c>
      <c r="K48" s="179">
        <f t="shared" si="21"/>
        <v>0</v>
      </c>
      <c r="L48" s="180"/>
    </row>
    <row r="49" s="153" customFormat="1" ht="21" customHeight="1" spans="1:12">
      <c r="A49" s="186" t="s">
        <v>198</v>
      </c>
      <c r="B49" s="186"/>
      <c r="C49" s="186"/>
      <c r="D49" s="186" t="s">
        <v>199</v>
      </c>
      <c r="E49" s="179">
        <f t="shared" si="8"/>
        <v>253.065312</v>
      </c>
      <c r="F49" s="179">
        <f>2530653.12/10000</f>
        <v>253.065312</v>
      </c>
      <c r="G49" s="179">
        <v>0</v>
      </c>
      <c r="H49" s="179">
        <v>0</v>
      </c>
      <c r="I49" s="179">
        <v>0</v>
      </c>
      <c r="J49" s="179">
        <v>0</v>
      </c>
      <c r="K49" s="184">
        <v>0</v>
      </c>
      <c r="L49" s="180"/>
    </row>
    <row r="50" s="154" customFormat="1" ht="21" customHeight="1" spans="1:12">
      <c r="A50" s="185" t="s">
        <v>200</v>
      </c>
      <c r="B50" s="185"/>
      <c r="C50" s="185"/>
      <c r="D50" s="185" t="s">
        <v>201</v>
      </c>
      <c r="E50" s="170">
        <f t="shared" ref="E50:E57" si="22">SUM(F50:K50)</f>
        <v>60</v>
      </c>
      <c r="F50" s="170">
        <f t="shared" ref="F50:K50" si="23">F51</f>
        <v>60</v>
      </c>
      <c r="G50" s="170">
        <f t="shared" si="23"/>
        <v>0</v>
      </c>
      <c r="H50" s="170">
        <f t="shared" si="23"/>
        <v>0</v>
      </c>
      <c r="I50" s="170">
        <f t="shared" si="23"/>
        <v>0</v>
      </c>
      <c r="J50" s="170">
        <f t="shared" si="23"/>
        <v>0</v>
      </c>
      <c r="K50" s="170">
        <f t="shared" si="23"/>
        <v>0</v>
      </c>
      <c r="L50" s="168"/>
    </row>
    <row r="51" s="153" customFormat="1" ht="21" customHeight="1" spans="1:12">
      <c r="A51" s="186" t="s">
        <v>202</v>
      </c>
      <c r="B51" s="186"/>
      <c r="C51" s="186"/>
      <c r="D51" s="186" t="s">
        <v>203</v>
      </c>
      <c r="E51" s="179">
        <f t="shared" si="22"/>
        <v>60</v>
      </c>
      <c r="F51" s="179">
        <f t="shared" ref="F51:K51" si="24">F52</f>
        <v>60</v>
      </c>
      <c r="G51" s="179">
        <f t="shared" si="24"/>
        <v>0</v>
      </c>
      <c r="H51" s="179">
        <f t="shared" si="24"/>
        <v>0</v>
      </c>
      <c r="I51" s="179">
        <f t="shared" si="24"/>
        <v>0</v>
      </c>
      <c r="J51" s="179">
        <f t="shared" si="24"/>
        <v>0</v>
      </c>
      <c r="K51" s="179">
        <f t="shared" si="24"/>
        <v>0</v>
      </c>
      <c r="L51" s="180"/>
    </row>
    <row r="52" s="153" customFormat="1" ht="21" customHeight="1" spans="1:12">
      <c r="A52" s="186" t="s">
        <v>204</v>
      </c>
      <c r="B52" s="186"/>
      <c r="C52" s="186"/>
      <c r="D52" s="186" t="s">
        <v>205</v>
      </c>
      <c r="E52" s="179">
        <f t="shared" si="22"/>
        <v>60</v>
      </c>
      <c r="F52" s="179">
        <f>600000/10000</f>
        <v>60</v>
      </c>
      <c r="G52" s="179">
        <v>0</v>
      </c>
      <c r="H52" s="179">
        <v>0</v>
      </c>
      <c r="I52" s="179">
        <v>0</v>
      </c>
      <c r="J52" s="179">
        <v>0</v>
      </c>
      <c r="K52" s="184">
        <v>0</v>
      </c>
      <c r="L52" s="180"/>
    </row>
    <row r="53" s="154" customFormat="1" ht="21" customHeight="1" spans="1:12">
      <c r="A53" s="185" t="s">
        <v>206</v>
      </c>
      <c r="B53" s="185"/>
      <c r="C53" s="185"/>
      <c r="D53" s="185" t="s">
        <v>207</v>
      </c>
      <c r="E53" s="170">
        <f t="shared" si="22"/>
        <v>2610.027038</v>
      </c>
      <c r="F53" s="170">
        <f>F56+F54</f>
        <v>200.283259</v>
      </c>
      <c r="G53" s="170">
        <f t="shared" ref="F53:K53" si="25">G56</f>
        <v>0</v>
      </c>
      <c r="H53" s="170">
        <f t="shared" si="25"/>
        <v>0</v>
      </c>
      <c r="I53" s="170">
        <f t="shared" si="25"/>
        <v>0</v>
      </c>
      <c r="J53" s="170">
        <f t="shared" si="25"/>
        <v>0</v>
      </c>
      <c r="K53" s="170">
        <f>K56+K54</f>
        <v>2409.743779</v>
      </c>
      <c r="L53" s="168"/>
    </row>
    <row r="54" s="154" customFormat="1" ht="21" customHeight="1" spans="1:12">
      <c r="A54" s="187">
        <v>22904</v>
      </c>
      <c r="B54" s="188"/>
      <c r="C54" s="189"/>
      <c r="D54" s="186" t="s">
        <v>208</v>
      </c>
      <c r="E54" s="179">
        <f t="shared" si="22"/>
        <v>200.283259</v>
      </c>
      <c r="F54" s="170">
        <f>F55</f>
        <v>200.283259</v>
      </c>
      <c r="G54" s="170">
        <v>0</v>
      </c>
      <c r="H54" s="170">
        <v>0</v>
      </c>
      <c r="I54" s="170">
        <v>0</v>
      </c>
      <c r="J54" s="170">
        <v>0</v>
      </c>
      <c r="K54" s="170">
        <v>0</v>
      </c>
      <c r="L54" s="168"/>
    </row>
    <row r="55" s="153" customFormat="1" ht="21" customHeight="1" spans="1:12">
      <c r="A55" s="181">
        <v>2290401</v>
      </c>
      <c r="B55" s="182"/>
      <c r="C55" s="183"/>
      <c r="D55" s="186" t="s">
        <v>209</v>
      </c>
      <c r="E55" s="179">
        <f t="shared" si="22"/>
        <v>200.283259</v>
      </c>
      <c r="F55" s="179">
        <f>2002832.59/10000</f>
        <v>200.283259</v>
      </c>
      <c r="G55" s="179">
        <v>0</v>
      </c>
      <c r="H55" s="179">
        <v>0</v>
      </c>
      <c r="I55" s="179">
        <v>0</v>
      </c>
      <c r="J55" s="179">
        <v>0</v>
      </c>
      <c r="K55" s="179">
        <v>0</v>
      </c>
      <c r="L55" s="180"/>
    </row>
    <row r="56" s="153" customFormat="1" ht="21" customHeight="1" spans="1:12">
      <c r="A56" s="186" t="s">
        <v>210</v>
      </c>
      <c r="B56" s="186"/>
      <c r="C56" s="186"/>
      <c r="D56" s="186" t="s">
        <v>207</v>
      </c>
      <c r="E56" s="179">
        <f t="shared" si="22"/>
        <v>2409.743779</v>
      </c>
      <c r="F56" s="179">
        <f t="shared" ref="F56:K56" si="26">F57</f>
        <v>0</v>
      </c>
      <c r="G56" s="179">
        <f t="shared" si="26"/>
        <v>0</v>
      </c>
      <c r="H56" s="179">
        <f t="shared" si="26"/>
        <v>0</v>
      </c>
      <c r="I56" s="179">
        <f t="shared" si="26"/>
        <v>0</v>
      </c>
      <c r="J56" s="179">
        <f t="shared" si="26"/>
        <v>0</v>
      </c>
      <c r="K56" s="179">
        <f t="shared" si="26"/>
        <v>2409.743779</v>
      </c>
      <c r="L56" s="180"/>
    </row>
    <row r="57" s="153" customFormat="1" ht="21" customHeight="1" spans="1:12">
      <c r="A57" s="186" t="s">
        <v>211</v>
      </c>
      <c r="B57" s="186"/>
      <c r="C57" s="186"/>
      <c r="D57" s="186" t="s">
        <v>207</v>
      </c>
      <c r="E57" s="179">
        <f t="shared" si="22"/>
        <v>2409.743779</v>
      </c>
      <c r="F57" s="179">
        <v>0</v>
      </c>
      <c r="G57" s="179">
        <v>0</v>
      </c>
      <c r="H57" s="179">
        <v>0</v>
      </c>
      <c r="I57" s="179">
        <v>0</v>
      </c>
      <c r="J57" s="179">
        <v>0</v>
      </c>
      <c r="K57" s="184">
        <f>24097437.79/10000</f>
        <v>2409.743779</v>
      </c>
      <c r="L57" s="180"/>
    </row>
    <row r="58" s="153" customFormat="1" ht="21" customHeight="1" spans="1:12">
      <c r="A58" s="190" t="s">
        <v>212</v>
      </c>
      <c r="B58" s="190" t="s">
        <v>5</v>
      </c>
      <c r="C58" s="190" t="s">
        <v>5</v>
      </c>
      <c r="D58" s="190" t="s">
        <v>5</v>
      </c>
      <c r="E58" s="190" t="s">
        <v>5</v>
      </c>
      <c r="F58" s="190" t="s">
        <v>5</v>
      </c>
      <c r="G58" s="190" t="s">
        <v>5</v>
      </c>
      <c r="H58" s="190" t="s">
        <v>5</v>
      </c>
      <c r="I58" s="190" t="s">
        <v>5</v>
      </c>
      <c r="J58" s="190" t="s">
        <v>5</v>
      </c>
      <c r="K58" s="190" t="s">
        <v>5</v>
      </c>
    </row>
    <row r="60" spans="1:12">
      <c r="F60" s="191" t="s">
        <v>213</v>
      </c>
    </row>
  </sheetData>
  <mergeCells count="112">
    <mergeCell ref="A1:K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K58"/>
    <mergeCell ref="A58:K58"/>
    <mergeCell ref="A58:K58"/>
    <mergeCell ref="A58:K58"/>
    <mergeCell ref="A58:K58"/>
    <mergeCell ref="A58:K58"/>
    <mergeCell ref="A58:K58"/>
    <mergeCell ref="A58:K58"/>
    <mergeCell ref="A58:K58"/>
    <mergeCell ref="A58:K58"/>
    <mergeCell ref="A58:K5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0"/>
  <sheetViews>
    <sheetView zoomScaleSheetLayoutView="60" workbookViewId="0">
      <pane xSplit="4" ySplit="8" topLeftCell="E9" activePane="bottomRight" state="frozen"/>
      <selection/>
      <selection pane="topRight"/>
      <selection pane="bottomLeft"/>
      <selection pane="bottomRight" activeCell="I24" sqref="I24"/>
    </sheetView>
  </sheetViews>
  <sheetFormatPr defaultColWidth="8.88571428571429" defaultRowHeight="12.75"/>
  <cols>
    <col min="1" max="1" width="5.57142857142857" style="68" customWidth="1"/>
    <col min="2" max="2" width="4.28571428571429" style="68" customWidth="1"/>
    <col min="3" max="3" width="3.57142857142857" style="68" customWidth="1"/>
    <col min="4" max="4" width="37.4285714285714" style="68" customWidth="1"/>
    <col min="5" max="10" width="17.1333333333333" style="68" customWidth="1"/>
    <col min="11" max="16384" width="8.88571428571429" style="68"/>
  </cols>
  <sheetData>
    <row r="1" s="98" customFormat="1" ht="24" customHeight="1" spans="1:10">
      <c r="A1" s="50" t="s">
        <v>214</v>
      </c>
      <c r="B1" s="51"/>
      <c r="C1" s="51"/>
      <c r="D1" s="51"/>
      <c r="E1" s="51"/>
      <c r="F1" s="50" t="s">
        <v>214</v>
      </c>
      <c r="G1" s="51"/>
      <c r="H1" s="51"/>
      <c r="I1" s="51"/>
      <c r="J1" s="51"/>
    </row>
    <row r="2" s="98" customFormat="1" ht="21" customHeight="1" spans="1:10">
      <c r="J2" s="100" t="s">
        <v>215</v>
      </c>
    </row>
    <row r="3" s="98" customFormat="1" ht="21" customHeight="1" spans="1:10">
      <c r="A3" s="101" t="str">
        <f>收入决算表!A3</f>
        <v>部门：岳阳县自然资源局</v>
      </c>
      <c r="J3" s="100" t="s">
        <v>3</v>
      </c>
    </row>
    <row r="4" s="99" customFormat="1" ht="21" customHeight="1" spans="1:10">
      <c r="A4" s="132" t="s">
        <v>7</v>
      </c>
      <c r="B4" s="133" t="s">
        <v>5</v>
      </c>
      <c r="C4" s="133" t="s">
        <v>5</v>
      </c>
      <c r="D4" s="133" t="s">
        <v>119</v>
      </c>
      <c r="E4" s="134" t="s">
        <v>99</v>
      </c>
      <c r="F4" s="134" t="s">
        <v>216</v>
      </c>
      <c r="G4" s="134" t="s">
        <v>217</v>
      </c>
      <c r="H4" s="134" t="s">
        <v>218</v>
      </c>
      <c r="I4" s="134" t="s">
        <v>219</v>
      </c>
      <c r="J4" s="134" t="s">
        <v>220</v>
      </c>
    </row>
    <row r="5" s="99" customFormat="1" ht="21" customHeight="1" spans="1:10">
      <c r="A5" s="135" t="s">
        <v>126</v>
      </c>
      <c r="B5" s="136" t="s">
        <v>5</v>
      </c>
      <c r="C5" s="136" t="s">
        <v>5</v>
      </c>
      <c r="D5" s="137" t="s">
        <v>119</v>
      </c>
      <c r="E5" s="136" t="s">
        <v>5</v>
      </c>
      <c r="F5" s="136" t="s">
        <v>5</v>
      </c>
      <c r="G5" s="136" t="s">
        <v>5</v>
      </c>
      <c r="H5" s="136" t="s">
        <v>5</v>
      </c>
      <c r="I5" s="136" t="s">
        <v>5</v>
      </c>
      <c r="J5" s="136" t="s">
        <v>5</v>
      </c>
    </row>
    <row r="6" s="99" customFormat="1" ht="21" customHeight="1" spans="1:10">
      <c r="A6" s="135" t="s">
        <v>5</v>
      </c>
      <c r="B6" s="136" t="s">
        <v>5</v>
      </c>
      <c r="C6" s="136" t="s">
        <v>5</v>
      </c>
      <c r="D6" s="137" t="s">
        <v>5</v>
      </c>
      <c r="E6" s="136" t="s">
        <v>5</v>
      </c>
      <c r="F6" s="136" t="s">
        <v>5</v>
      </c>
      <c r="G6" s="136" t="s">
        <v>5</v>
      </c>
      <c r="H6" s="136" t="s">
        <v>5</v>
      </c>
      <c r="I6" s="136" t="s">
        <v>5</v>
      </c>
      <c r="J6" s="136" t="s">
        <v>5</v>
      </c>
    </row>
    <row r="7" s="99" customFormat="1" ht="21" customHeight="1" spans="1:10">
      <c r="A7" s="135" t="s">
        <v>5</v>
      </c>
      <c r="B7" s="136" t="s">
        <v>5</v>
      </c>
      <c r="C7" s="136" t="s">
        <v>5</v>
      </c>
      <c r="D7" s="137" t="s">
        <v>5</v>
      </c>
      <c r="E7" s="136" t="s">
        <v>5</v>
      </c>
      <c r="F7" s="136" t="s">
        <v>5</v>
      </c>
      <c r="G7" s="136" t="s">
        <v>5</v>
      </c>
      <c r="H7" s="136" t="s">
        <v>5</v>
      </c>
      <c r="I7" s="136" t="s">
        <v>5</v>
      </c>
      <c r="J7" s="136" t="s">
        <v>5</v>
      </c>
    </row>
    <row r="8" s="99" customFormat="1" ht="21" customHeight="1" spans="1:10">
      <c r="A8" s="138" t="s">
        <v>10</v>
      </c>
      <c r="B8" s="138" t="s">
        <v>128</v>
      </c>
      <c r="C8" s="138" t="s">
        <v>129</v>
      </c>
      <c r="D8" s="138" t="s">
        <v>10</v>
      </c>
      <c r="E8" s="139" t="s">
        <v>11</v>
      </c>
      <c r="F8" s="139" t="s">
        <v>12</v>
      </c>
      <c r="G8" s="139" t="s">
        <v>20</v>
      </c>
      <c r="H8" s="139" t="s">
        <v>24</v>
      </c>
      <c r="I8" s="139" t="s">
        <v>28</v>
      </c>
      <c r="J8" s="140" t="s">
        <v>32</v>
      </c>
    </row>
    <row r="9" s="56" customFormat="1" ht="21" customHeight="1" spans="1:10">
      <c r="A9" s="141" t="s">
        <v>130</v>
      </c>
      <c r="B9" s="141" t="s">
        <v>5</v>
      </c>
      <c r="C9" s="141" t="s">
        <v>5</v>
      </c>
      <c r="D9" s="141" t="s">
        <v>130</v>
      </c>
      <c r="E9" s="91">
        <f>SUM(F9:J9)</f>
        <v>9912.224488</v>
      </c>
      <c r="F9" s="91">
        <f>F10+F13+F22+F29+F38+F47+F50+F53+F26+F35</f>
        <v>6727.138887</v>
      </c>
      <c r="G9" s="91">
        <f>G10+G13+G22+G29+G38+G47+G50+G53+G26+G35</f>
        <v>3185.085601</v>
      </c>
      <c r="H9" s="91">
        <f>H10+H13+H22+H29+H38+H47+H50+H53+H26+H35</f>
        <v>0</v>
      </c>
      <c r="I9" s="91">
        <f>I10+I13+I22+I29+I38+I47+I50+I53+I26+I35</f>
        <v>0</v>
      </c>
      <c r="J9" s="91">
        <f>J10+J13+J22+J29+J38+J47+J50+J53+J26+J35</f>
        <v>0</v>
      </c>
    </row>
    <row r="10" s="56" customFormat="1" ht="21" customHeight="1" spans="1:10">
      <c r="A10" s="72">
        <v>206</v>
      </c>
      <c r="B10" s="73"/>
      <c r="C10" s="74"/>
      <c r="D10" s="75" t="s">
        <v>131</v>
      </c>
      <c r="E10" s="91">
        <f t="shared" ref="E10:E57" si="0">SUM(F10:J10)</f>
        <v>94</v>
      </c>
      <c r="F10" s="76">
        <f>F11</f>
        <v>94</v>
      </c>
      <c r="G10" s="76">
        <f>G11</f>
        <v>0</v>
      </c>
      <c r="H10" s="76">
        <f>H11</f>
        <v>0</v>
      </c>
      <c r="I10" s="76">
        <f>I11</f>
        <v>0</v>
      </c>
      <c r="J10" s="76">
        <f>J11</f>
        <v>0</v>
      </c>
    </row>
    <row r="11" s="49" customFormat="1" ht="21" customHeight="1" spans="1:10">
      <c r="A11" s="77">
        <v>20604</v>
      </c>
      <c r="B11" s="78"/>
      <c r="C11" s="79"/>
      <c r="D11" s="80" t="s">
        <v>132</v>
      </c>
      <c r="E11" s="81">
        <f t="shared" si="0"/>
        <v>94</v>
      </c>
      <c r="F11" s="81">
        <f>F12</f>
        <v>94</v>
      </c>
      <c r="G11" s="81">
        <f>G12</f>
        <v>0</v>
      </c>
      <c r="H11" s="81">
        <f>H12</f>
        <v>0</v>
      </c>
      <c r="I11" s="81">
        <f>I12</f>
        <v>0</v>
      </c>
      <c r="J11" s="81">
        <f>J12</f>
        <v>0</v>
      </c>
    </row>
    <row r="12" s="49" customFormat="1" ht="21" customHeight="1" spans="1:10">
      <c r="A12" s="82" t="s">
        <v>133</v>
      </c>
      <c r="B12" s="83"/>
      <c r="C12" s="84"/>
      <c r="D12" s="80" t="s">
        <v>134</v>
      </c>
      <c r="E12" s="81">
        <f t="shared" si="0"/>
        <v>94</v>
      </c>
      <c r="F12" s="81">
        <f>940000/10000</f>
        <v>94</v>
      </c>
      <c r="G12" s="81">
        <v>0</v>
      </c>
      <c r="H12" s="81">
        <v>0</v>
      </c>
      <c r="I12" s="81">
        <v>0</v>
      </c>
      <c r="J12" s="81">
        <v>0</v>
      </c>
    </row>
    <row r="13" s="56" customFormat="1" ht="21" customHeight="1" spans="1:10">
      <c r="A13" s="90" t="s">
        <v>135</v>
      </c>
      <c r="B13" s="90"/>
      <c r="C13" s="90"/>
      <c r="D13" s="90" t="s">
        <v>136</v>
      </c>
      <c r="E13" s="91">
        <f t="shared" si="0"/>
        <v>370.194492</v>
      </c>
      <c r="F13" s="91">
        <f>F14+F16+F18+F20</f>
        <v>361.899192</v>
      </c>
      <c r="G13" s="91">
        <f>G14+G16+G18+G20</f>
        <v>8.2953</v>
      </c>
      <c r="H13" s="91">
        <f>H14+H16+H18+H20</f>
        <v>0</v>
      </c>
      <c r="I13" s="91">
        <f>I14+I16+I18+I20</f>
        <v>0</v>
      </c>
      <c r="J13" s="91">
        <f>J14+J16+J18+J20</f>
        <v>0</v>
      </c>
    </row>
    <row r="14" s="49" customFormat="1" ht="21" customHeight="1" spans="1:10">
      <c r="A14" s="92" t="s">
        <v>137</v>
      </c>
      <c r="B14" s="92"/>
      <c r="C14" s="92"/>
      <c r="D14" s="92" t="s">
        <v>138</v>
      </c>
      <c r="E14" s="93">
        <f t="shared" si="0"/>
        <v>337.420416</v>
      </c>
      <c r="F14" s="93">
        <f t="shared" ref="F14:F18" si="1">F15</f>
        <v>337.420416</v>
      </c>
      <c r="G14" s="93">
        <f>G15</f>
        <v>0</v>
      </c>
      <c r="H14" s="93">
        <f t="shared" ref="H13:H18" si="2">H15</f>
        <v>0</v>
      </c>
      <c r="I14" s="93">
        <f t="shared" ref="I13:I18" si="3">I15</f>
        <v>0</v>
      </c>
      <c r="J14" s="93">
        <f t="shared" ref="J13:J18" si="4">J15</f>
        <v>0</v>
      </c>
    </row>
    <row r="15" s="49" customFormat="1" ht="21" customHeight="1" spans="1:10">
      <c r="A15" s="92" t="s">
        <v>139</v>
      </c>
      <c r="B15" s="92"/>
      <c r="C15" s="92"/>
      <c r="D15" s="92" t="s">
        <v>140</v>
      </c>
      <c r="E15" s="93">
        <f t="shared" si="0"/>
        <v>337.420416</v>
      </c>
      <c r="F15" s="93">
        <f>3374204.16/10000</f>
        <v>337.420416</v>
      </c>
      <c r="G15" s="93">
        <v>0</v>
      </c>
      <c r="H15" s="93">
        <v>0</v>
      </c>
      <c r="I15" s="93">
        <v>0</v>
      </c>
      <c r="J15" s="142">
        <v>0</v>
      </c>
    </row>
    <row r="16" s="49" customFormat="1" ht="21" customHeight="1" spans="1:10">
      <c r="A16" s="92" t="s">
        <v>141</v>
      </c>
      <c r="B16" s="92"/>
      <c r="C16" s="92"/>
      <c r="D16" s="92" t="s">
        <v>142</v>
      </c>
      <c r="E16" s="93">
        <f t="shared" si="0"/>
        <v>3.39</v>
      </c>
      <c r="F16" s="93">
        <f t="shared" si="1"/>
        <v>3.39</v>
      </c>
      <c r="G16" s="93">
        <f>G17</f>
        <v>0</v>
      </c>
      <c r="H16" s="93">
        <f t="shared" si="2"/>
        <v>0</v>
      </c>
      <c r="I16" s="93">
        <f t="shared" si="3"/>
        <v>0</v>
      </c>
      <c r="J16" s="93">
        <f t="shared" si="4"/>
        <v>0</v>
      </c>
    </row>
    <row r="17" s="49" customFormat="1" ht="21" customHeight="1" spans="1:10">
      <c r="A17" s="92" t="s">
        <v>143</v>
      </c>
      <c r="B17" s="92"/>
      <c r="C17" s="92"/>
      <c r="D17" s="92" t="s">
        <v>144</v>
      </c>
      <c r="E17" s="93">
        <f t="shared" si="0"/>
        <v>3.39</v>
      </c>
      <c r="F17" s="93">
        <f>33900/10000</f>
        <v>3.39</v>
      </c>
      <c r="G17" s="93">
        <v>0</v>
      </c>
      <c r="H17" s="93">
        <v>0</v>
      </c>
      <c r="I17" s="93">
        <v>0</v>
      </c>
      <c r="J17" s="142">
        <v>0</v>
      </c>
    </row>
    <row r="18" s="49" customFormat="1" ht="21" customHeight="1" spans="1:10">
      <c r="A18" s="82">
        <v>20811</v>
      </c>
      <c r="B18" s="83"/>
      <c r="C18" s="84"/>
      <c r="D18" s="87" t="s">
        <v>145</v>
      </c>
      <c r="E18" s="81">
        <f t="shared" si="0"/>
        <v>8.2953</v>
      </c>
      <c r="F18" s="81">
        <f t="shared" si="1"/>
        <v>0</v>
      </c>
      <c r="G18" s="81">
        <f>G19</f>
        <v>8.2953</v>
      </c>
      <c r="H18" s="81">
        <f t="shared" si="2"/>
        <v>0</v>
      </c>
      <c r="I18" s="81">
        <f t="shared" si="3"/>
        <v>0</v>
      </c>
      <c r="J18" s="81">
        <f t="shared" si="4"/>
        <v>0</v>
      </c>
    </row>
    <row r="19" s="49" customFormat="1" ht="21" customHeight="1" spans="1:10">
      <c r="A19" s="82">
        <v>2081199</v>
      </c>
      <c r="B19" s="83"/>
      <c r="C19" s="84"/>
      <c r="D19" s="87" t="s">
        <v>146</v>
      </c>
      <c r="E19" s="81">
        <f t="shared" si="0"/>
        <v>8.2953</v>
      </c>
      <c r="F19" s="81">
        <v>0</v>
      </c>
      <c r="G19" s="81">
        <f>82953/10000</f>
        <v>8.2953</v>
      </c>
      <c r="H19" s="81">
        <v>0</v>
      </c>
      <c r="I19" s="81">
        <v>0</v>
      </c>
      <c r="J19" s="81">
        <v>0</v>
      </c>
    </row>
    <row r="20" s="49" customFormat="1" ht="21" customHeight="1" spans="1:10">
      <c r="A20" s="92" t="s">
        <v>147</v>
      </c>
      <c r="B20" s="92"/>
      <c r="C20" s="92"/>
      <c r="D20" s="92" t="s">
        <v>148</v>
      </c>
      <c r="E20" s="93">
        <f t="shared" si="0"/>
        <v>21.088776</v>
      </c>
      <c r="F20" s="93">
        <f>F21</f>
        <v>21.088776</v>
      </c>
      <c r="G20" s="93">
        <f>G21</f>
        <v>0</v>
      </c>
      <c r="H20" s="93">
        <f>H21</f>
        <v>0</v>
      </c>
      <c r="I20" s="93">
        <f>I21</f>
        <v>0</v>
      </c>
      <c r="J20" s="93">
        <f>J21</f>
        <v>0</v>
      </c>
    </row>
    <row r="21" s="49" customFormat="1" ht="21" customHeight="1" spans="1:10">
      <c r="A21" s="92" t="s">
        <v>149</v>
      </c>
      <c r="B21" s="92"/>
      <c r="C21" s="92"/>
      <c r="D21" s="92" t="s">
        <v>148</v>
      </c>
      <c r="E21" s="93">
        <f t="shared" si="0"/>
        <v>21.088776</v>
      </c>
      <c r="F21" s="93">
        <f>210887.76/10000</f>
        <v>21.088776</v>
      </c>
      <c r="G21" s="93">
        <v>0</v>
      </c>
      <c r="H21" s="93">
        <v>0</v>
      </c>
      <c r="I21" s="93">
        <v>0</v>
      </c>
      <c r="J21" s="142">
        <v>0</v>
      </c>
    </row>
    <row r="22" s="56" customFormat="1" ht="21" customHeight="1" spans="1:10">
      <c r="A22" s="90" t="s">
        <v>150</v>
      </c>
      <c r="B22" s="90"/>
      <c r="C22" s="90"/>
      <c r="D22" s="90" t="s">
        <v>151</v>
      </c>
      <c r="E22" s="91">
        <f t="shared" si="0"/>
        <v>200.343372</v>
      </c>
      <c r="F22" s="91">
        <f t="shared" ref="F22:F27" si="5">F23</f>
        <v>200.343372</v>
      </c>
      <c r="G22" s="91">
        <f t="shared" ref="G22:G27" si="6">G23</f>
        <v>0</v>
      </c>
      <c r="H22" s="91">
        <f t="shared" ref="H22:H27" si="7">H23</f>
        <v>0</v>
      </c>
      <c r="I22" s="91">
        <f t="shared" ref="I22:I27" si="8">I23</f>
        <v>0</v>
      </c>
      <c r="J22" s="91">
        <f t="shared" ref="J22:J27" si="9">J23</f>
        <v>0</v>
      </c>
    </row>
    <row r="23" s="49" customFormat="1" ht="21" customHeight="1" spans="1:10">
      <c r="A23" s="92" t="s">
        <v>152</v>
      </c>
      <c r="B23" s="92"/>
      <c r="C23" s="92"/>
      <c r="D23" s="92" t="s">
        <v>153</v>
      </c>
      <c r="E23" s="93">
        <f t="shared" si="0"/>
        <v>200.343372</v>
      </c>
      <c r="F23" s="93">
        <f>F24+F25</f>
        <v>200.343372</v>
      </c>
      <c r="G23" s="93">
        <f t="shared" si="6"/>
        <v>0</v>
      </c>
      <c r="H23" s="93">
        <f t="shared" si="7"/>
        <v>0</v>
      </c>
      <c r="I23" s="93">
        <f t="shared" si="8"/>
        <v>0</v>
      </c>
      <c r="J23" s="93">
        <f t="shared" si="9"/>
        <v>0</v>
      </c>
    </row>
    <row r="24" s="49" customFormat="1" ht="21" customHeight="1" spans="1:10">
      <c r="A24" s="92" t="s">
        <v>154</v>
      </c>
      <c r="B24" s="92"/>
      <c r="C24" s="92"/>
      <c r="D24" s="92" t="s">
        <v>155</v>
      </c>
      <c r="E24" s="93">
        <f t="shared" si="0"/>
        <v>179.254596</v>
      </c>
      <c r="F24" s="93">
        <f>1792545.96/10000</f>
        <v>179.254596</v>
      </c>
      <c r="G24" s="93">
        <v>0</v>
      </c>
      <c r="H24" s="93">
        <v>0</v>
      </c>
      <c r="I24" s="93">
        <v>0</v>
      </c>
      <c r="J24" s="142">
        <v>0</v>
      </c>
    </row>
    <row r="25" s="56" customFormat="1" ht="21" customHeight="1" spans="1:10">
      <c r="A25" s="143">
        <v>2101103</v>
      </c>
      <c r="B25" s="144"/>
      <c r="C25" s="145"/>
      <c r="D25" s="92" t="s">
        <v>156</v>
      </c>
      <c r="E25" s="93">
        <f t="shared" si="0"/>
        <v>21.088776</v>
      </c>
      <c r="F25" s="93">
        <f>210887.76/10000</f>
        <v>21.088776</v>
      </c>
      <c r="G25" s="93">
        <v>0</v>
      </c>
      <c r="H25" s="93">
        <v>0</v>
      </c>
      <c r="I25" s="93">
        <v>0</v>
      </c>
      <c r="J25" s="93">
        <v>0</v>
      </c>
    </row>
    <row r="26" s="49" customFormat="1" ht="21" customHeight="1" spans="1:10">
      <c r="A26" s="85">
        <v>211</v>
      </c>
      <c r="B26" s="85"/>
      <c r="C26" s="85"/>
      <c r="D26" s="85" t="s">
        <v>157</v>
      </c>
      <c r="E26" s="76">
        <f t="shared" si="0"/>
        <v>90</v>
      </c>
      <c r="F26" s="76">
        <f t="shared" si="5"/>
        <v>0</v>
      </c>
      <c r="G26" s="76">
        <f t="shared" si="6"/>
        <v>90</v>
      </c>
      <c r="H26" s="76">
        <f t="shared" si="7"/>
        <v>0</v>
      </c>
      <c r="I26" s="76">
        <f t="shared" si="8"/>
        <v>0</v>
      </c>
      <c r="J26" s="76">
        <f t="shared" si="9"/>
        <v>0</v>
      </c>
    </row>
    <row r="27" s="49" customFormat="1" ht="21" customHeight="1" spans="1:10">
      <c r="A27" s="82">
        <v>21104</v>
      </c>
      <c r="B27" s="83"/>
      <c r="C27" s="84"/>
      <c r="D27" s="87" t="s">
        <v>158</v>
      </c>
      <c r="E27" s="81">
        <f t="shared" si="0"/>
        <v>90</v>
      </c>
      <c r="F27" s="81">
        <f t="shared" si="5"/>
        <v>0</v>
      </c>
      <c r="G27" s="81">
        <f t="shared" si="6"/>
        <v>90</v>
      </c>
      <c r="H27" s="81">
        <f t="shared" si="7"/>
        <v>0</v>
      </c>
      <c r="I27" s="81">
        <f t="shared" si="8"/>
        <v>0</v>
      </c>
      <c r="J27" s="81">
        <f t="shared" si="9"/>
        <v>0</v>
      </c>
    </row>
    <row r="28" s="49" customFormat="1" ht="21" customHeight="1" spans="1:10">
      <c r="A28" s="82" t="s">
        <v>159</v>
      </c>
      <c r="B28" s="83"/>
      <c r="C28" s="84"/>
      <c r="D28" s="87" t="s">
        <v>160</v>
      </c>
      <c r="E28" s="81">
        <f t="shared" si="0"/>
        <v>90</v>
      </c>
      <c r="F28" s="81">
        <v>0</v>
      </c>
      <c r="G28" s="81">
        <f>900000/10000</f>
        <v>90</v>
      </c>
      <c r="H28" s="81">
        <v>0</v>
      </c>
      <c r="I28" s="81">
        <v>0</v>
      </c>
      <c r="J28" s="81">
        <v>0</v>
      </c>
    </row>
    <row r="29" s="56" customFormat="1" ht="21" customHeight="1" spans="1:10">
      <c r="A29" s="90" t="s">
        <v>161</v>
      </c>
      <c r="B29" s="90"/>
      <c r="C29" s="90"/>
      <c r="D29" s="90" t="s">
        <v>162</v>
      </c>
      <c r="E29" s="91">
        <f t="shared" si="0"/>
        <v>252.70816</v>
      </c>
      <c r="F29" s="91">
        <f>F32+F30</f>
        <v>244.6609</v>
      </c>
      <c r="G29" s="91">
        <f>G32+G30</f>
        <v>8.04726</v>
      </c>
      <c r="H29" s="91">
        <f>H32+H30</f>
        <v>0</v>
      </c>
      <c r="I29" s="91">
        <f>I32</f>
        <v>0</v>
      </c>
      <c r="J29" s="91">
        <f>J32</f>
        <v>0</v>
      </c>
    </row>
    <row r="30" s="56" customFormat="1" ht="21" customHeight="1" spans="1:10">
      <c r="A30" s="82">
        <v>21201</v>
      </c>
      <c r="B30" s="83"/>
      <c r="C30" s="84"/>
      <c r="D30" s="87" t="s">
        <v>163</v>
      </c>
      <c r="E30" s="81">
        <f t="shared" si="0"/>
        <v>30</v>
      </c>
      <c r="F30" s="81">
        <f>F31</f>
        <v>30</v>
      </c>
      <c r="G30" s="81">
        <v>0</v>
      </c>
      <c r="H30" s="81">
        <v>0</v>
      </c>
      <c r="I30" s="81">
        <v>0</v>
      </c>
      <c r="J30" s="81">
        <v>0</v>
      </c>
    </row>
    <row r="31" s="56" customFormat="1" ht="21" customHeight="1" spans="1:10">
      <c r="A31" s="82" t="s">
        <v>164</v>
      </c>
      <c r="B31" s="83"/>
      <c r="C31" s="84"/>
      <c r="D31" s="87" t="s">
        <v>165</v>
      </c>
      <c r="E31" s="81">
        <f t="shared" si="0"/>
        <v>30</v>
      </c>
      <c r="F31" s="81">
        <f>300000/10000</f>
        <v>30</v>
      </c>
      <c r="G31" s="81">
        <v>0</v>
      </c>
      <c r="H31" s="81">
        <v>0</v>
      </c>
      <c r="I31" s="81">
        <v>0</v>
      </c>
      <c r="J31" s="81">
        <v>0</v>
      </c>
    </row>
    <row r="32" s="49" customFormat="1" ht="21" customHeight="1" spans="1:10">
      <c r="A32" s="92" t="s">
        <v>166</v>
      </c>
      <c r="B32" s="92"/>
      <c r="C32" s="92"/>
      <c r="D32" s="92" t="s">
        <v>167</v>
      </c>
      <c r="E32" s="93">
        <f t="shared" si="0"/>
        <v>222.70816</v>
      </c>
      <c r="F32" s="93">
        <f>SUM(F33:F34)</f>
        <v>214.6609</v>
      </c>
      <c r="G32" s="93">
        <f>SUM(G34:G34)</f>
        <v>8.04726</v>
      </c>
      <c r="H32" s="93">
        <f>SUM(H34:H34)</f>
        <v>0</v>
      </c>
      <c r="I32" s="93">
        <f>SUM(I34:I34)</f>
        <v>0</v>
      </c>
      <c r="J32" s="93">
        <f>SUM(J34:J34)</f>
        <v>0</v>
      </c>
    </row>
    <row r="33" s="49" customFormat="1" ht="21" customHeight="1" spans="1:11">
      <c r="A33" s="87" t="s">
        <v>168</v>
      </c>
      <c r="B33" s="87"/>
      <c r="C33" s="87"/>
      <c r="D33" s="87" t="s">
        <v>169</v>
      </c>
      <c r="E33" s="81">
        <f t="shared" si="0"/>
        <v>2.5109</v>
      </c>
      <c r="F33" s="81">
        <f>25109/10000</f>
        <v>2.5109</v>
      </c>
      <c r="G33" s="81">
        <v>0</v>
      </c>
      <c r="H33" s="81">
        <v>0</v>
      </c>
      <c r="I33" s="81">
        <v>0</v>
      </c>
      <c r="J33" s="81">
        <v>0</v>
      </c>
    </row>
    <row r="34" s="49" customFormat="1" ht="21" customHeight="1" spans="1:11">
      <c r="A34" s="92" t="s">
        <v>170</v>
      </c>
      <c r="B34" s="92"/>
      <c r="C34" s="92"/>
      <c r="D34" s="92" t="s">
        <v>171</v>
      </c>
      <c r="E34" s="93">
        <f t="shared" si="0"/>
        <v>220.19726</v>
      </c>
      <c r="F34" s="93">
        <f>2121500/10000</f>
        <v>212.15</v>
      </c>
      <c r="G34" s="93">
        <f>80472.6/10000</f>
        <v>8.04726</v>
      </c>
      <c r="H34" s="93">
        <v>0</v>
      </c>
      <c r="I34" s="93">
        <v>0</v>
      </c>
      <c r="J34" s="142">
        <v>0</v>
      </c>
    </row>
    <row r="35" s="56" customFormat="1" ht="21" customHeight="1" spans="1:11">
      <c r="A35" s="85">
        <v>213</v>
      </c>
      <c r="B35" s="85"/>
      <c r="C35" s="85"/>
      <c r="D35" s="85" t="s">
        <v>172</v>
      </c>
      <c r="E35" s="76">
        <f t="shared" si="0"/>
        <v>116.961</v>
      </c>
      <c r="F35" s="76">
        <f>F36</f>
        <v>0</v>
      </c>
      <c r="G35" s="76">
        <f>G36</f>
        <v>116.961</v>
      </c>
      <c r="H35" s="76">
        <f>H36</f>
        <v>0</v>
      </c>
      <c r="I35" s="76">
        <f>I36</f>
        <v>0</v>
      </c>
      <c r="J35" s="76">
        <f>J36</f>
        <v>0</v>
      </c>
    </row>
    <row r="36" s="49" customFormat="1" ht="21" customHeight="1" spans="1:11">
      <c r="A36" s="87">
        <v>21301</v>
      </c>
      <c r="B36" s="87"/>
      <c r="C36" s="87"/>
      <c r="D36" s="87" t="s">
        <v>173</v>
      </c>
      <c r="E36" s="81">
        <f t="shared" si="0"/>
        <v>116.961</v>
      </c>
      <c r="F36" s="81">
        <f>F37</f>
        <v>0</v>
      </c>
      <c r="G36" s="81">
        <f>G37</f>
        <v>116.961</v>
      </c>
      <c r="H36" s="81">
        <f>H37</f>
        <v>0</v>
      </c>
      <c r="I36" s="81">
        <f>I37</f>
        <v>0</v>
      </c>
      <c r="J36" s="81">
        <f>J37</f>
        <v>0</v>
      </c>
    </row>
    <row r="37" s="49" customFormat="1" ht="21" customHeight="1" spans="1:11">
      <c r="A37" s="87" t="s">
        <v>174</v>
      </c>
      <c r="B37" s="87"/>
      <c r="C37" s="87"/>
      <c r="D37" s="87" t="s">
        <v>175</v>
      </c>
      <c r="E37" s="81">
        <f t="shared" si="0"/>
        <v>116.961</v>
      </c>
      <c r="F37" s="81">
        <v>0</v>
      </c>
      <c r="G37" s="81">
        <f>1169610/10000</f>
        <v>116.961</v>
      </c>
      <c r="H37" s="81">
        <v>0</v>
      </c>
      <c r="I37" s="81">
        <v>0</v>
      </c>
      <c r="J37" s="81">
        <v>0</v>
      </c>
    </row>
    <row r="38" s="56" customFormat="1" ht="21" customHeight="1" spans="1:11">
      <c r="A38" s="90" t="s">
        <v>176</v>
      </c>
      <c r="B38" s="90"/>
      <c r="C38" s="90"/>
      <c r="D38" s="90" t="s">
        <v>177</v>
      </c>
      <c r="E38" s="91">
        <f t="shared" si="0"/>
        <v>7037.280881</v>
      </c>
      <c r="F38" s="91">
        <f>F39</f>
        <v>4552.571299</v>
      </c>
      <c r="G38" s="91">
        <f>G39</f>
        <v>2484.709582</v>
      </c>
      <c r="H38" s="91">
        <f>H39</f>
        <v>0</v>
      </c>
      <c r="I38" s="91">
        <f>I39</f>
        <v>0</v>
      </c>
      <c r="J38" s="91">
        <f>J39</f>
        <v>0</v>
      </c>
    </row>
    <row r="39" s="49" customFormat="1" ht="21" customHeight="1" spans="1:11">
      <c r="A39" s="92" t="s">
        <v>178</v>
      </c>
      <c r="B39" s="92"/>
      <c r="C39" s="92"/>
      <c r="D39" s="92" t="s">
        <v>179</v>
      </c>
      <c r="E39" s="93">
        <f t="shared" si="0"/>
        <v>7037.280881</v>
      </c>
      <c r="F39" s="93">
        <f>SUM(F40:F46)</f>
        <v>4552.571299</v>
      </c>
      <c r="G39" s="93">
        <f>SUM(G40:G46)</f>
        <v>2484.709582</v>
      </c>
      <c r="H39" s="93">
        <f>SUM(H40:H46)</f>
        <v>0</v>
      </c>
      <c r="I39" s="93">
        <f>SUM(I40:I46)</f>
        <v>0</v>
      </c>
      <c r="J39" s="93">
        <f>SUM(J40:J46)</f>
        <v>0</v>
      </c>
    </row>
    <row r="40" s="49" customFormat="1" ht="21" customHeight="1" spans="1:11">
      <c r="A40" s="92" t="s">
        <v>180</v>
      </c>
      <c r="B40" s="92"/>
      <c r="C40" s="92"/>
      <c r="D40" s="92" t="s">
        <v>181</v>
      </c>
      <c r="E40" s="93">
        <f t="shared" si="0"/>
        <v>4018.284134</v>
      </c>
      <c r="F40" s="93">
        <f>40182841.34/10000</f>
        <v>4018.284134</v>
      </c>
      <c r="G40" s="93">
        <v>0</v>
      </c>
      <c r="H40" s="93">
        <v>0</v>
      </c>
      <c r="I40" s="93">
        <v>0</v>
      </c>
      <c r="J40" s="142">
        <v>0</v>
      </c>
    </row>
    <row r="41" s="49" customFormat="1" ht="21" customHeight="1" spans="1:11">
      <c r="A41" s="92" t="s">
        <v>182</v>
      </c>
      <c r="B41" s="92"/>
      <c r="C41" s="92"/>
      <c r="D41" s="92" t="s">
        <v>183</v>
      </c>
      <c r="E41" s="93">
        <f t="shared" si="0"/>
        <v>129</v>
      </c>
      <c r="F41" s="93">
        <f>0/10000</f>
        <v>0</v>
      </c>
      <c r="G41" s="93">
        <f>1290000/10000</f>
        <v>129</v>
      </c>
      <c r="H41" s="93">
        <v>0</v>
      </c>
      <c r="I41" s="93">
        <v>0</v>
      </c>
      <c r="J41" s="142">
        <v>0</v>
      </c>
    </row>
    <row r="42" s="49" customFormat="1" ht="21" customHeight="1" spans="1:11">
      <c r="A42" s="92" t="s">
        <v>184</v>
      </c>
      <c r="B42" s="92"/>
      <c r="C42" s="92"/>
      <c r="D42" s="92" t="s">
        <v>185</v>
      </c>
      <c r="E42" s="93">
        <f t="shared" si="0"/>
        <v>30.1805</v>
      </c>
      <c r="F42" s="93">
        <v>0</v>
      </c>
      <c r="G42" s="93">
        <f>301805/10000</f>
        <v>30.1805</v>
      </c>
      <c r="H42" s="93">
        <v>0</v>
      </c>
      <c r="I42" s="93">
        <v>0</v>
      </c>
      <c r="J42" s="142">
        <v>0</v>
      </c>
    </row>
    <row r="43" s="49" customFormat="1" ht="21" customHeight="1" spans="1:11">
      <c r="A43" s="82" t="s">
        <v>186</v>
      </c>
      <c r="B43" s="83"/>
      <c r="C43" s="84"/>
      <c r="D43" s="87" t="s">
        <v>187</v>
      </c>
      <c r="E43" s="81">
        <f t="shared" si="0"/>
        <v>50</v>
      </c>
      <c r="F43" s="81">
        <v>0</v>
      </c>
      <c r="G43" s="81">
        <f>500000/10000</f>
        <v>50</v>
      </c>
      <c r="H43" s="81">
        <v>0</v>
      </c>
      <c r="I43" s="81">
        <v>0</v>
      </c>
      <c r="J43" s="81">
        <v>0</v>
      </c>
    </row>
    <row r="44" s="49" customFormat="1" ht="21" customHeight="1" spans="1:11">
      <c r="A44" s="82" t="s">
        <v>188</v>
      </c>
      <c r="B44" s="83"/>
      <c r="C44" s="84"/>
      <c r="D44" s="87" t="s">
        <v>189</v>
      </c>
      <c r="E44" s="81">
        <f t="shared" si="0"/>
        <v>48.98</v>
      </c>
      <c r="F44" s="81">
        <v>0</v>
      </c>
      <c r="G44" s="81">
        <f>489800/10000</f>
        <v>48.98</v>
      </c>
      <c r="H44" s="81">
        <v>0</v>
      </c>
      <c r="I44" s="81">
        <v>0</v>
      </c>
      <c r="J44" s="81">
        <v>0</v>
      </c>
    </row>
    <row r="45" s="49" customFormat="1" ht="21" customHeight="1" spans="1:11">
      <c r="A45" s="82" t="s">
        <v>190</v>
      </c>
      <c r="B45" s="83"/>
      <c r="C45" s="84"/>
      <c r="D45" s="87" t="s">
        <v>191</v>
      </c>
      <c r="E45" s="81">
        <f t="shared" si="0"/>
        <v>48</v>
      </c>
      <c r="F45" s="81">
        <v>0</v>
      </c>
      <c r="G45" s="81">
        <f>480000/10000</f>
        <v>48</v>
      </c>
      <c r="H45" s="81">
        <v>0</v>
      </c>
      <c r="I45" s="81">
        <v>0</v>
      </c>
      <c r="J45" s="81">
        <v>0</v>
      </c>
    </row>
    <row r="46" s="49" customFormat="1" ht="21" customHeight="1" spans="1:11">
      <c r="A46" s="87" t="s">
        <v>192</v>
      </c>
      <c r="B46" s="87"/>
      <c r="C46" s="87"/>
      <c r="D46" s="87" t="s">
        <v>193</v>
      </c>
      <c r="E46" s="81">
        <f t="shared" si="0"/>
        <v>2712.836247</v>
      </c>
      <c r="F46" s="81">
        <f>5342871.65/10000</f>
        <v>534.287165</v>
      </c>
      <c r="G46" s="81">
        <f>21785490.82/10000</f>
        <v>2178.549082</v>
      </c>
      <c r="H46" s="81">
        <v>0</v>
      </c>
      <c r="I46" s="81">
        <v>0</v>
      </c>
      <c r="J46" s="81">
        <v>0</v>
      </c>
    </row>
    <row r="47" s="56" customFormat="1" ht="21" customHeight="1" spans="1:11">
      <c r="A47" s="85" t="s">
        <v>194</v>
      </c>
      <c r="B47" s="85"/>
      <c r="C47" s="85"/>
      <c r="D47" s="85" t="s">
        <v>195</v>
      </c>
      <c r="E47" s="76">
        <f t="shared" si="0"/>
        <v>253.065312</v>
      </c>
      <c r="F47" s="76">
        <f>F48</f>
        <v>253.065312</v>
      </c>
      <c r="G47" s="76">
        <f>G48</f>
        <v>0</v>
      </c>
      <c r="H47" s="76">
        <f>H48</f>
        <v>0</v>
      </c>
      <c r="I47" s="76">
        <f>I48</f>
        <v>0</v>
      </c>
      <c r="J47" s="76">
        <f>J48</f>
        <v>0</v>
      </c>
      <c r="K47" s="146"/>
    </row>
    <row r="48" s="49" customFormat="1" ht="21" customHeight="1" spans="1:11">
      <c r="A48" s="87" t="s">
        <v>196</v>
      </c>
      <c r="B48" s="87"/>
      <c r="C48" s="87"/>
      <c r="D48" s="87" t="s">
        <v>197</v>
      </c>
      <c r="E48" s="81">
        <f t="shared" si="0"/>
        <v>253.065312</v>
      </c>
      <c r="F48" s="81">
        <f>F49</f>
        <v>253.065312</v>
      </c>
      <c r="G48" s="81">
        <f>G49</f>
        <v>0</v>
      </c>
      <c r="H48" s="81">
        <f>H49</f>
        <v>0</v>
      </c>
      <c r="I48" s="81">
        <f>I49</f>
        <v>0</v>
      </c>
      <c r="J48" s="81">
        <f>J49</f>
        <v>0</v>
      </c>
      <c r="K48" s="147"/>
    </row>
    <row r="49" s="49" customFormat="1" ht="21" customHeight="1" spans="1:11">
      <c r="A49" s="87" t="s">
        <v>198</v>
      </c>
      <c r="B49" s="87"/>
      <c r="C49" s="87"/>
      <c r="D49" s="87" t="s">
        <v>199</v>
      </c>
      <c r="E49" s="81">
        <f t="shared" si="0"/>
        <v>253.065312</v>
      </c>
      <c r="F49" s="81">
        <f>2530653.12/10000</f>
        <v>253.065312</v>
      </c>
      <c r="G49" s="81">
        <v>0</v>
      </c>
      <c r="H49" s="81">
        <v>0</v>
      </c>
      <c r="I49" s="81">
        <v>0</v>
      </c>
      <c r="J49" s="81">
        <v>0</v>
      </c>
      <c r="K49" s="147"/>
    </row>
    <row r="50" s="56" customFormat="1" ht="21" customHeight="1" spans="1:11">
      <c r="A50" s="90" t="s">
        <v>200</v>
      </c>
      <c r="B50" s="90"/>
      <c r="C50" s="90"/>
      <c r="D50" s="90" t="s">
        <v>201</v>
      </c>
      <c r="E50" s="91">
        <f t="shared" si="0"/>
        <v>60</v>
      </c>
      <c r="F50" s="91">
        <f>F51</f>
        <v>0</v>
      </c>
      <c r="G50" s="91">
        <f>G51</f>
        <v>60</v>
      </c>
      <c r="H50" s="91">
        <f>H51</f>
        <v>0</v>
      </c>
      <c r="I50" s="91">
        <f>I51</f>
        <v>0</v>
      </c>
      <c r="J50" s="91">
        <f>J51</f>
        <v>0</v>
      </c>
    </row>
    <row r="51" s="49" customFormat="1" ht="21" customHeight="1" spans="1:11">
      <c r="A51" s="92" t="s">
        <v>202</v>
      </c>
      <c r="B51" s="92"/>
      <c r="C51" s="92"/>
      <c r="D51" s="92" t="s">
        <v>203</v>
      </c>
      <c r="E51" s="93">
        <f t="shared" si="0"/>
        <v>60</v>
      </c>
      <c r="F51" s="93">
        <f>F52</f>
        <v>0</v>
      </c>
      <c r="G51" s="93">
        <f>G52</f>
        <v>60</v>
      </c>
      <c r="H51" s="93">
        <f>H52</f>
        <v>0</v>
      </c>
      <c r="I51" s="93">
        <f>I52</f>
        <v>0</v>
      </c>
      <c r="J51" s="93">
        <f>J52</f>
        <v>0</v>
      </c>
    </row>
    <row r="52" s="49" customFormat="1" ht="21" customHeight="1" spans="1:11">
      <c r="A52" s="92" t="s">
        <v>204</v>
      </c>
      <c r="B52" s="92"/>
      <c r="C52" s="92"/>
      <c r="D52" s="92" t="s">
        <v>205</v>
      </c>
      <c r="E52" s="93">
        <f t="shared" si="0"/>
        <v>60</v>
      </c>
      <c r="F52" s="93">
        <f>0/10000</f>
        <v>0</v>
      </c>
      <c r="G52" s="93">
        <f>600000/10000</f>
        <v>60</v>
      </c>
      <c r="H52" s="93">
        <v>0</v>
      </c>
      <c r="I52" s="93">
        <v>0</v>
      </c>
      <c r="J52" s="142">
        <v>0</v>
      </c>
    </row>
    <row r="53" s="56" customFormat="1" ht="21" customHeight="1" spans="1:11">
      <c r="A53" s="90" t="s">
        <v>206</v>
      </c>
      <c r="B53" s="90"/>
      <c r="C53" s="90"/>
      <c r="D53" s="90" t="s">
        <v>207</v>
      </c>
      <c r="E53" s="91">
        <f t="shared" si="0"/>
        <v>1437.671271</v>
      </c>
      <c r="F53" s="91">
        <f>F56+F54</f>
        <v>1020.598812</v>
      </c>
      <c r="G53" s="91">
        <f>G56+G54</f>
        <v>417.072459</v>
      </c>
      <c r="H53" s="91">
        <f>H56</f>
        <v>0</v>
      </c>
      <c r="I53" s="91">
        <f>I56</f>
        <v>0</v>
      </c>
      <c r="J53" s="91">
        <f>J56</f>
        <v>0</v>
      </c>
    </row>
    <row r="54" s="56" customFormat="1" ht="21" customHeight="1" spans="1:11">
      <c r="A54" s="92">
        <v>22904</v>
      </c>
      <c r="B54" s="92"/>
      <c r="C54" s="92"/>
      <c r="D54" s="92" t="s">
        <v>208</v>
      </c>
      <c r="E54" s="93">
        <f t="shared" si="0"/>
        <v>200.283259</v>
      </c>
      <c r="F54" s="93">
        <f>F55</f>
        <v>105.8</v>
      </c>
      <c r="G54" s="93">
        <f>G55</f>
        <v>94.483259</v>
      </c>
      <c r="H54" s="93">
        <v>0</v>
      </c>
      <c r="I54" s="93">
        <v>0</v>
      </c>
      <c r="J54" s="93">
        <v>0</v>
      </c>
    </row>
    <row r="55" s="56" customFormat="1" ht="21" customHeight="1" spans="1:11">
      <c r="A55" s="143">
        <v>2290401</v>
      </c>
      <c r="B55" s="144"/>
      <c r="C55" s="145"/>
      <c r="D55" s="92" t="s">
        <v>209</v>
      </c>
      <c r="E55" s="93">
        <f t="shared" si="0"/>
        <v>200.283259</v>
      </c>
      <c r="F55" s="148">
        <f>1058000/10000</f>
        <v>105.8</v>
      </c>
      <c r="G55" s="148">
        <f>944832.59/10000</f>
        <v>94.483259</v>
      </c>
      <c r="H55" s="93">
        <v>0</v>
      </c>
      <c r="I55" s="93">
        <v>0</v>
      </c>
      <c r="J55" s="93">
        <v>0</v>
      </c>
    </row>
    <row r="56" s="49" customFormat="1" ht="21" customHeight="1" spans="1:11">
      <c r="A56" s="92" t="s">
        <v>210</v>
      </c>
      <c r="B56" s="92"/>
      <c r="C56" s="92"/>
      <c r="D56" s="92" t="s">
        <v>207</v>
      </c>
      <c r="E56" s="93">
        <f t="shared" si="0"/>
        <v>1237.388012</v>
      </c>
      <c r="F56" s="93">
        <f>F57</f>
        <v>914.798812</v>
      </c>
      <c r="G56" s="93">
        <f>G57</f>
        <v>322.5892</v>
      </c>
      <c r="H56" s="93">
        <f>H57</f>
        <v>0</v>
      </c>
      <c r="I56" s="93">
        <f>I57</f>
        <v>0</v>
      </c>
      <c r="J56" s="93">
        <f>J57</f>
        <v>0</v>
      </c>
    </row>
    <row r="57" s="49" customFormat="1" ht="21" customHeight="1" spans="1:11">
      <c r="A57" s="149" t="s">
        <v>211</v>
      </c>
      <c r="B57" s="149"/>
      <c r="C57" s="149"/>
      <c r="D57" s="149" t="s">
        <v>207</v>
      </c>
      <c r="E57" s="93">
        <f t="shared" si="0"/>
        <v>1237.388012</v>
      </c>
      <c r="F57" s="148">
        <f>9147988.12/10000</f>
        <v>914.798812</v>
      </c>
      <c r="G57" s="148">
        <f>3225892/10000</f>
        <v>322.5892</v>
      </c>
      <c r="H57" s="148">
        <v>0</v>
      </c>
      <c r="I57" s="148">
        <v>0</v>
      </c>
      <c r="J57" s="150">
        <v>0</v>
      </c>
    </row>
    <row r="58" s="98" customFormat="1" ht="21" customHeight="1" spans="1:11">
      <c r="A58" s="151" t="s">
        <v>221</v>
      </c>
      <c r="B58" s="151" t="s">
        <v>5</v>
      </c>
      <c r="C58" s="151" t="s">
        <v>5</v>
      </c>
      <c r="D58" s="151" t="s">
        <v>5</v>
      </c>
      <c r="E58" s="151" t="s">
        <v>5</v>
      </c>
      <c r="F58" s="151" t="s">
        <v>5</v>
      </c>
      <c r="G58" s="151" t="s">
        <v>5</v>
      </c>
      <c r="H58" s="151" t="s">
        <v>5</v>
      </c>
      <c r="I58" s="151" t="s">
        <v>5</v>
      </c>
      <c r="J58" s="151" t="s">
        <v>5</v>
      </c>
    </row>
    <row r="60" spans="1:11">
      <c r="F60" s="97" t="s">
        <v>222</v>
      </c>
    </row>
  </sheetData>
  <mergeCells count="107">
    <mergeCell ref="A1:J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J58"/>
    <mergeCell ref="A58:J58"/>
    <mergeCell ref="A58:J58"/>
    <mergeCell ref="A58:J58"/>
    <mergeCell ref="A58:J58"/>
    <mergeCell ref="A58:J58"/>
    <mergeCell ref="A58:J58"/>
    <mergeCell ref="A58:J58"/>
    <mergeCell ref="A58:J58"/>
    <mergeCell ref="A58:J5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workbookViewId="0">
      <pane xSplit="2" ySplit="7" topLeftCell="C8" activePane="bottomRight" state="frozen"/>
      <selection/>
      <selection pane="topRight"/>
      <selection pane="bottomLeft"/>
      <selection pane="bottomRight" activeCell="D25" sqref="D25"/>
    </sheetView>
  </sheetViews>
  <sheetFormatPr defaultColWidth="8.88571428571429" defaultRowHeight="12.75"/>
  <cols>
    <col min="1" max="1" width="29.847619047619" style="68" customWidth="1"/>
    <col min="2" max="2" width="5.42857142857143" style="68" customWidth="1"/>
    <col min="3" max="3" width="17.8571428571429" style="68" customWidth="1"/>
    <col min="4" max="4" width="33.7142857142857" style="68" customWidth="1"/>
    <col min="5" max="5" width="5.42857142857143" style="68" customWidth="1"/>
    <col min="6" max="6" width="16" style="68" customWidth="1"/>
    <col min="7" max="7" width="14.847619047619" style="68" customWidth="1"/>
    <col min="8" max="8" width="15.4285714285714" style="68" customWidth="1"/>
    <col min="9" max="9" width="14.1333333333333" style="68" customWidth="1"/>
    <col min="10" max="10" width="9.76190476190476" style="68"/>
    <col min="11" max="16384" width="8.88571428571429" style="68"/>
  </cols>
  <sheetData>
    <row r="1" s="98" customFormat="1" ht="30" customHeight="1" spans="1:9">
      <c r="A1" s="50" t="s">
        <v>223</v>
      </c>
      <c r="B1" s="51"/>
      <c r="C1" s="51"/>
      <c r="D1" s="50" t="s">
        <v>223</v>
      </c>
      <c r="E1" s="51"/>
      <c r="F1" s="51"/>
      <c r="G1" s="51"/>
      <c r="H1" s="51"/>
      <c r="I1" s="51"/>
    </row>
    <row r="2" s="98" customFormat="1" ht="18" customHeight="1" spans="1:9">
      <c r="I2" s="100" t="s">
        <v>224</v>
      </c>
    </row>
    <row r="3" s="98" customFormat="1" ht="18" customHeight="1" spans="1:9">
      <c r="A3" s="101" t="str">
        <f>支出决算表!A3</f>
        <v>部门：岳阳县自然资源局</v>
      </c>
      <c r="I3" s="100" t="s">
        <v>3</v>
      </c>
    </row>
    <row r="4" s="99" customFormat="1" ht="18" customHeight="1" spans="1:9">
      <c r="A4" s="102" t="s">
        <v>225</v>
      </c>
      <c r="B4" s="103" t="s">
        <v>5</v>
      </c>
      <c r="C4" s="103" t="s">
        <v>5</v>
      </c>
      <c r="D4" s="103" t="s">
        <v>226</v>
      </c>
      <c r="E4" s="103" t="s">
        <v>5</v>
      </c>
      <c r="F4" s="103" t="s">
        <v>5</v>
      </c>
      <c r="G4" s="103" t="s">
        <v>5</v>
      </c>
      <c r="H4" s="103" t="s">
        <v>5</v>
      </c>
      <c r="I4" s="103" t="s">
        <v>5</v>
      </c>
    </row>
    <row r="5" s="99" customFormat="1" ht="18" customHeight="1" spans="1:9">
      <c r="A5" s="104" t="s">
        <v>7</v>
      </c>
      <c r="B5" s="105" t="s">
        <v>8</v>
      </c>
      <c r="C5" s="105" t="s">
        <v>9</v>
      </c>
      <c r="D5" s="105" t="s">
        <v>7</v>
      </c>
      <c r="E5" s="105" t="s">
        <v>8</v>
      </c>
      <c r="F5" s="106" t="s">
        <v>130</v>
      </c>
      <c r="G5" s="105" t="s">
        <v>227</v>
      </c>
      <c r="H5" s="105" t="s">
        <v>228</v>
      </c>
      <c r="I5" s="105" t="s">
        <v>229</v>
      </c>
    </row>
    <row r="6" s="99" customFormat="1" ht="18" customHeight="1" spans="1:9">
      <c r="A6" s="104" t="s">
        <v>5</v>
      </c>
      <c r="B6" s="105" t="s">
        <v>5</v>
      </c>
      <c r="C6" s="105" t="s">
        <v>5</v>
      </c>
      <c r="D6" s="105" t="s">
        <v>5</v>
      </c>
      <c r="E6" s="105" t="s">
        <v>5</v>
      </c>
      <c r="F6" s="106" t="s">
        <v>127</v>
      </c>
      <c r="G6" s="105" t="s">
        <v>227</v>
      </c>
      <c r="H6" s="105" t="s">
        <v>228</v>
      </c>
      <c r="I6" s="105" t="s">
        <v>5</v>
      </c>
    </row>
    <row r="7" s="99" customFormat="1" ht="18" customHeight="1" spans="1:9">
      <c r="A7" s="107" t="s">
        <v>10</v>
      </c>
      <c r="B7" s="106" t="s">
        <v>5</v>
      </c>
      <c r="C7" s="106" t="s">
        <v>11</v>
      </c>
      <c r="D7" s="106" t="s">
        <v>10</v>
      </c>
      <c r="E7" s="106" t="s">
        <v>5</v>
      </c>
      <c r="F7" s="106" t="s">
        <v>12</v>
      </c>
      <c r="G7" s="106" t="s">
        <v>20</v>
      </c>
      <c r="H7" s="106" t="s">
        <v>24</v>
      </c>
      <c r="I7" s="106" t="s">
        <v>28</v>
      </c>
    </row>
    <row r="8" s="98" customFormat="1" ht="18" customHeight="1" spans="1:9">
      <c r="A8" s="108" t="s">
        <v>230</v>
      </c>
      <c r="B8" s="109" t="s">
        <v>11</v>
      </c>
      <c r="C8" s="110">
        <f>一般公共预算财政拨款支出决算表!E9</f>
        <v>8251.845057</v>
      </c>
      <c r="D8" s="111" t="s">
        <v>14</v>
      </c>
      <c r="E8" s="109" t="s">
        <v>18</v>
      </c>
      <c r="F8" s="112">
        <f>SUM(G8:I8)</f>
        <v>0</v>
      </c>
      <c r="G8" s="88">
        <v>0</v>
      </c>
      <c r="H8" s="88">
        <v>0</v>
      </c>
      <c r="I8" s="113">
        <v>0</v>
      </c>
    </row>
    <row r="9" s="98" customFormat="1" ht="18" customHeight="1" spans="1:9">
      <c r="A9" s="108" t="s">
        <v>231</v>
      </c>
      <c r="B9" s="109" t="s">
        <v>12</v>
      </c>
      <c r="C9" s="114">
        <f>政府性基金预算财政拨款收入支出决算表!F7</f>
        <v>422.991419</v>
      </c>
      <c r="D9" s="111" t="s">
        <v>17</v>
      </c>
      <c r="E9" s="109" t="s">
        <v>22</v>
      </c>
      <c r="F9" s="115">
        <f t="shared" ref="F9:F34" si="0">SUM(G9:I9)</f>
        <v>0</v>
      </c>
      <c r="G9" s="81">
        <v>0</v>
      </c>
      <c r="H9" s="81">
        <v>0</v>
      </c>
      <c r="I9" s="89">
        <v>0</v>
      </c>
    </row>
    <row r="10" s="98" customFormat="1" ht="18" customHeight="1" spans="1:9">
      <c r="A10" s="108" t="s">
        <v>232</v>
      </c>
      <c r="B10" s="109" t="s">
        <v>20</v>
      </c>
      <c r="C10" s="114">
        <f>国有资本经营预算财政拨款支出决算表!E9</f>
        <v>0</v>
      </c>
      <c r="D10" s="111" t="s">
        <v>21</v>
      </c>
      <c r="E10" s="109" t="s">
        <v>26</v>
      </c>
      <c r="F10" s="115">
        <f t="shared" si="0"/>
        <v>0</v>
      </c>
      <c r="G10" s="81">
        <v>0</v>
      </c>
      <c r="H10" s="81">
        <v>0</v>
      </c>
      <c r="I10" s="89">
        <v>0</v>
      </c>
    </row>
    <row r="11" s="98" customFormat="1" ht="18" customHeight="1" spans="1:9">
      <c r="A11" s="108" t="s">
        <v>5</v>
      </c>
      <c r="B11" s="109" t="s">
        <v>24</v>
      </c>
      <c r="C11" s="116" t="s">
        <v>5</v>
      </c>
      <c r="D11" s="111" t="s">
        <v>25</v>
      </c>
      <c r="E11" s="109" t="s">
        <v>30</v>
      </c>
      <c r="F11" s="115">
        <f t="shared" si="0"/>
        <v>0</v>
      </c>
      <c r="G11" s="81">
        <v>0</v>
      </c>
      <c r="H11" s="81">
        <v>0</v>
      </c>
      <c r="I11" s="89">
        <v>0</v>
      </c>
    </row>
    <row r="12" s="98" customFormat="1" ht="18" customHeight="1" spans="1:9">
      <c r="A12" s="108" t="s">
        <v>5</v>
      </c>
      <c r="B12" s="109" t="s">
        <v>28</v>
      </c>
      <c r="C12" s="116" t="s">
        <v>5</v>
      </c>
      <c r="D12" s="111" t="s">
        <v>29</v>
      </c>
      <c r="E12" s="109" t="s">
        <v>34</v>
      </c>
      <c r="F12" s="115">
        <f t="shared" si="0"/>
        <v>0</v>
      </c>
      <c r="G12" s="81">
        <v>0</v>
      </c>
      <c r="H12" s="81">
        <v>0</v>
      </c>
      <c r="I12" s="89">
        <v>0</v>
      </c>
    </row>
    <row r="13" s="98" customFormat="1" ht="18" customHeight="1" spans="1:9">
      <c r="A13" s="108" t="s">
        <v>5</v>
      </c>
      <c r="B13" s="109" t="s">
        <v>32</v>
      </c>
      <c r="C13" s="116" t="s">
        <v>5</v>
      </c>
      <c r="D13" s="111" t="s">
        <v>33</v>
      </c>
      <c r="E13" s="109" t="s">
        <v>38</v>
      </c>
      <c r="F13" s="115">
        <f t="shared" si="0"/>
        <v>94</v>
      </c>
      <c r="G13" s="81">
        <f>一般公共预算财政拨款支出决算表!E10</f>
        <v>94</v>
      </c>
      <c r="H13" s="81">
        <v>0</v>
      </c>
      <c r="I13" s="89">
        <v>0</v>
      </c>
    </row>
    <row r="14" s="98" customFormat="1" ht="18" customHeight="1" spans="1:9">
      <c r="A14" s="108" t="s">
        <v>5</v>
      </c>
      <c r="B14" s="109" t="s">
        <v>36</v>
      </c>
      <c r="C14" s="116" t="s">
        <v>5</v>
      </c>
      <c r="D14" s="111" t="s">
        <v>37</v>
      </c>
      <c r="E14" s="109" t="s">
        <v>42</v>
      </c>
      <c r="F14" s="115">
        <f t="shared" si="0"/>
        <v>0</v>
      </c>
      <c r="G14" s="81">
        <v>0</v>
      </c>
      <c r="H14" s="81">
        <v>0</v>
      </c>
      <c r="I14" s="89">
        <v>0</v>
      </c>
    </row>
    <row r="15" s="98" customFormat="1" ht="18" customHeight="1" spans="1:9">
      <c r="A15" s="108" t="s">
        <v>5</v>
      </c>
      <c r="B15" s="109" t="s">
        <v>40</v>
      </c>
      <c r="C15" s="116" t="s">
        <v>5</v>
      </c>
      <c r="D15" s="111" t="s">
        <v>41</v>
      </c>
      <c r="E15" s="109" t="s">
        <v>45</v>
      </c>
      <c r="F15" s="115">
        <f t="shared" si="0"/>
        <v>370.194492</v>
      </c>
      <c r="G15" s="81">
        <f>一般公共预算财政拨款支出决算表!E13</f>
        <v>370.194492</v>
      </c>
      <c r="H15" s="81">
        <v>0</v>
      </c>
      <c r="I15" s="89">
        <v>0</v>
      </c>
    </row>
    <row r="16" s="98" customFormat="1" ht="18" customHeight="1" spans="1:9">
      <c r="A16" s="108" t="s">
        <v>5</v>
      </c>
      <c r="B16" s="109" t="s">
        <v>43</v>
      </c>
      <c r="C16" s="116" t="s">
        <v>5</v>
      </c>
      <c r="D16" s="111" t="s">
        <v>44</v>
      </c>
      <c r="E16" s="109" t="s">
        <v>48</v>
      </c>
      <c r="F16" s="115">
        <f t="shared" si="0"/>
        <v>200.343372</v>
      </c>
      <c r="G16" s="81">
        <f>一般公共预算财政拨款支出决算表!E22</f>
        <v>200.343372</v>
      </c>
      <c r="H16" s="81">
        <v>0</v>
      </c>
      <c r="I16" s="89">
        <v>0</v>
      </c>
    </row>
    <row r="17" s="98" customFormat="1" ht="18" customHeight="1" spans="1:9">
      <c r="A17" s="108" t="s">
        <v>5</v>
      </c>
      <c r="B17" s="109" t="s">
        <v>46</v>
      </c>
      <c r="C17" s="116" t="s">
        <v>5</v>
      </c>
      <c r="D17" s="111" t="s">
        <v>47</v>
      </c>
      <c r="E17" s="109" t="s">
        <v>51</v>
      </c>
      <c r="F17" s="115">
        <f t="shared" si="0"/>
        <v>90</v>
      </c>
      <c r="G17" s="81">
        <f>一般公共预算财政拨款支出决算表!E26</f>
        <v>90</v>
      </c>
      <c r="H17" s="81">
        <v>0</v>
      </c>
      <c r="I17" s="89">
        <v>0</v>
      </c>
    </row>
    <row r="18" s="98" customFormat="1" ht="18" customHeight="1" spans="1:9">
      <c r="A18" s="108" t="s">
        <v>5</v>
      </c>
      <c r="B18" s="109" t="s">
        <v>49</v>
      </c>
      <c r="C18" s="116" t="s">
        <v>5</v>
      </c>
      <c r="D18" s="111" t="s">
        <v>50</v>
      </c>
      <c r="E18" s="109" t="s">
        <v>54</v>
      </c>
      <c r="F18" s="115">
        <f t="shared" si="0"/>
        <v>252.70816</v>
      </c>
      <c r="G18" s="81">
        <f>一般公共预算财政拨款支出决算表!E29</f>
        <v>30</v>
      </c>
      <c r="H18" s="81">
        <f>政府性基金预算财政拨款收入支出决算表!G8</f>
        <v>222.70816</v>
      </c>
      <c r="I18" s="89">
        <v>0</v>
      </c>
    </row>
    <row r="19" s="98" customFormat="1" ht="18" customHeight="1" spans="1:9">
      <c r="A19" s="108" t="s">
        <v>5</v>
      </c>
      <c r="B19" s="109" t="s">
        <v>52</v>
      </c>
      <c r="C19" s="116" t="s">
        <v>5</v>
      </c>
      <c r="D19" s="111" t="s">
        <v>53</v>
      </c>
      <c r="E19" s="109" t="s">
        <v>57</v>
      </c>
      <c r="F19" s="115">
        <f t="shared" si="0"/>
        <v>116.961</v>
      </c>
      <c r="G19" s="81">
        <f>一般公共预算财政拨款支出决算表!E32</f>
        <v>116.961</v>
      </c>
      <c r="H19" s="81">
        <v>0</v>
      </c>
      <c r="I19" s="89">
        <v>0</v>
      </c>
    </row>
    <row r="20" s="98" customFormat="1" ht="18" customHeight="1" spans="1:9">
      <c r="A20" s="108" t="s">
        <v>5</v>
      </c>
      <c r="B20" s="109" t="s">
        <v>55</v>
      </c>
      <c r="C20" s="116" t="s">
        <v>5</v>
      </c>
      <c r="D20" s="111" t="s">
        <v>56</v>
      </c>
      <c r="E20" s="109" t="s">
        <v>60</v>
      </c>
      <c r="F20" s="115">
        <f t="shared" si="0"/>
        <v>0</v>
      </c>
      <c r="G20" s="81">
        <v>0</v>
      </c>
      <c r="H20" s="81">
        <v>0</v>
      </c>
      <c r="I20" s="89">
        <v>0</v>
      </c>
    </row>
    <row r="21" s="98" customFormat="1" ht="18" customHeight="1" spans="1:9">
      <c r="A21" s="108" t="s">
        <v>5</v>
      </c>
      <c r="B21" s="109" t="s">
        <v>58</v>
      </c>
      <c r="C21" s="116" t="s">
        <v>5</v>
      </c>
      <c r="D21" s="111" t="s">
        <v>59</v>
      </c>
      <c r="E21" s="109" t="s">
        <v>63</v>
      </c>
      <c r="F21" s="115">
        <f t="shared" si="0"/>
        <v>0</v>
      </c>
      <c r="G21" s="81">
        <v>0</v>
      </c>
      <c r="H21" s="81">
        <v>0</v>
      </c>
      <c r="I21" s="89">
        <v>0</v>
      </c>
    </row>
    <row r="22" s="98" customFormat="1" ht="18" customHeight="1" spans="1:9">
      <c r="A22" s="108" t="s">
        <v>5</v>
      </c>
      <c r="B22" s="109" t="s">
        <v>61</v>
      </c>
      <c r="C22" s="116" t="s">
        <v>5</v>
      </c>
      <c r="D22" s="111" t="s">
        <v>62</v>
      </c>
      <c r="E22" s="109" t="s">
        <v>66</v>
      </c>
      <c r="F22" s="115">
        <f t="shared" si="0"/>
        <v>0</v>
      </c>
      <c r="G22" s="81">
        <v>0</v>
      </c>
      <c r="H22" s="81">
        <v>0</v>
      </c>
      <c r="I22" s="89">
        <v>0</v>
      </c>
    </row>
    <row r="23" s="98" customFormat="1" ht="18" customHeight="1" spans="1:9">
      <c r="A23" s="108" t="s">
        <v>5</v>
      </c>
      <c r="B23" s="109" t="s">
        <v>64</v>
      </c>
      <c r="C23" s="116" t="s">
        <v>5</v>
      </c>
      <c r="D23" s="111" t="s">
        <v>65</v>
      </c>
      <c r="E23" s="109" t="s">
        <v>69</v>
      </c>
      <c r="F23" s="115">
        <f t="shared" si="0"/>
        <v>0</v>
      </c>
      <c r="G23" s="81">
        <v>0</v>
      </c>
      <c r="H23" s="81">
        <v>0</v>
      </c>
      <c r="I23" s="89">
        <v>0</v>
      </c>
    </row>
    <row r="24" s="98" customFormat="1" ht="18" customHeight="1" spans="1:9">
      <c r="A24" s="108" t="s">
        <v>5</v>
      </c>
      <c r="B24" s="109" t="s">
        <v>67</v>
      </c>
      <c r="C24" s="116" t="s">
        <v>5</v>
      </c>
      <c r="D24" s="111" t="s">
        <v>68</v>
      </c>
      <c r="E24" s="109" t="s">
        <v>72</v>
      </c>
      <c r="F24" s="115">
        <f t="shared" si="0"/>
        <v>0</v>
      </c>
      <c r="G24" s="81">
        <v>0</v>
      </c>
      <c r="H24" s="81">
        <v>0</v>
      </c>
      <c r="I24" s="89">
        <v>0</v>
      </c>
    </row>
    <row r="25" s="98" customFormat="1" ht="18" customHeight="1" spans="1:9">
      <c r="A25" s="108" t="s">
        <v>5</v>
      </c>
      <c r="B25" s="109" t="s">
        <v>70</v>
      </c>
      <c r="C25" s="116" t="s">
        <v>5</v>
      </c>
      <c r="D25" s="111" t="s">
        <v>71</v>
      </c>
      <c r="E25" s="109" t="s">
        <v>75</v>
      </c>
      <c r="F25" s="115">
        <f t="shared" si="0"/>
        <v>7037.280881</v>
      </c>
      <c r="G25" s="81">
        <f>一般公共预算财政拨款支出决算表!E35</f>
        <v>7037.280881</v>
      </c>
      <c r="H25" s="81">
        <v>0</v>
      </c>
      <c r="I25" s="89">
        <v>0</v>
      </c>
    </row>
    <row r="26" s="98" customFormat="1" ht="18" customHeight="1" spans="1:9">
      <c r="A26" s="108" t="s">
        <v>5</v>
      </c>
      <c r="B26" s="109" t="s">
        <v>73</v>
      </c>
      <c r="C26" s="116" t="s">
        <v>5</v>
      </c>
      <c r="D26" s="111" t="s">
        <v>74</v>
      </c>
      <c r="E26" s="109" t="s">
        <v>78</v>
      </c>
      <c r="F26" s="115">
        <f t="shared" si="0"/>
        <v>253.065312</v>
      </c>
      <c r="G26" s="81">
        <f>一般公共预算财政拨款支出决算表!E44</f>
        <v>253.065312</v>
      </c>
      <c r="H26" s="81">
        <v>0</v>
      </c>
      <c r="I26" s="89">
        <v>0</v>
      </c>
    </row>
    <row r="27" s="98" customFormat="1" ht="18" customHeight="1" spans="1:9">
      <c r="A27" s="108" t="s">
        <v>5</v>
      </c>
      <c r="B27" s="109" t="s">
        <v>76</v>
      </c>
      <c r="C27" s="116" t="s">
        <v>5</v>
      </c>
      <c r="D27" s="111" t="s">
        <v>77</v>
      </c>
      <c r="E27" s="109" t="s">
        <v>81</v>
      </c>
      <c r="F27" s="115">
        <f t="shared" si="0"/>
        <v>0</v>
      </c>
      <c r="G27" s="81">
        <v>0</v>
      </c>
      <c r="H27" s="81">
        <v>0</v>
      </c>
      <c r="I27" s="89">
        <v>0</v>
      </c>
    </row>
    <row r="28" s="98" customFormat="1" ht="18" customHeight="1" spans="1:9">
      <c r="A28" s="108" t="s">
        <v>5</v>
      </c>
      <c r="B28" s="109" t="s">
        <v>79</v>
      </c>
      <c r="C28" s="116" t="s">
        <v>5</v>
      </c>
      <c r="D28" s="111" t="s">
        <v>80</v>
      </c>
      <c r="E28" s="109" t="s">
        <v>84</v>
      </c>
      <c r="F28" s="115">
        <f t="shared" si="0"/>
        <v>0</v>
      </c>
      <c r="G28" s="81">
        <v>0</v>
      </c>
      <c r="H28" s="81">
        <v>0</v>
      </c>
      <c r="I28" s="89">
        <f>国有资本经营预算财政拨款支出决算表!E10</f>
        <v>0</v>
      </c>
    </row>
    <row r="29" s="98" customFormat="1" ht="18" customHeight="1" spans="1:9">
      <c r="A29" s="108" t="s">
        <v>5</v>
      </c>
      <c r="B29" s="109" t="s">
        <v>82</v>
      </c>
      <c r="C29" s="116" t="s">
        <v>5</v>
      </c>
      <c r="D29" s="111" t="s">
        <v>83</v>
      </c>
      <c r="E29" s="109" t="s">
        <v>87</v>
      </c>
      <c r="F29" s="115">
        <f t="shared" si="0"/>
        <v>60</v>
      </c>
      <c r="G29" s="81">
        <f>一般公共预算财政拨款支出决算表!E47</f>
        <v>60</v>
      </c>
      <c r="H29" s="81">
        <v>0</v>
      </c>
      <c r="I29" s="89">
        <v>0</v>
      </c>
    </row>
    <row r="30" s="98" customFormat="1" ht="18" customHeight="1" spans="1:9">
      <c r="A30" s="108" t="s">
        <v>5</v>
      </c>
      <c r="B30" s="109" t="s">
        <v>85</v>
      </c>
      <c r="C30" s="116" t="s">
        <v>5</v>
      </c>
      <c r="D30" s="111" t="s">
        <v>86</v>
      </c>
      <c r="E30" s="109" t="s">
        <v>90</v>
      </c>
      <c r="F30" s="115">
        <f t="shared" si="0"/>
        <v>200.283259</v>
      </c>
      <c r="G30" s="81">
        <f>政府性基金预算财政拨款收入支出决算表!G12</f>
        <v>200.283259</v>
      </c>
      <c r="H30" s="81">
        <v>0</v>
      </c>
      <c r="I30" s="89">
        <v>0</v>
      </c>
    </row>
    <row r="31" s="98" customFormat="1" ht="18" customHeight="1" spans="1:9">
      <c r="A31" s="107" t="s">
        <v>5</v>
      </c>
      <c r="B31" s="109" t="s">
        <v>88</v>
      </c>
      <c r="C31" s="116" t="s">
        <v>5</v>
      </c>
      <c r="D31" s="111" t="s">
        <v>89</v>
      </c>
      <c r="E31" s="109" t="s">
        <v>93</v>
      </c>
      <c r="F31" s="115">
        <f t="shared" si="0"/>
        <v>0</v>
      </c>
      <c r="G31" s="81">
        <v>0</v>
      </c>
      <c r="H31" s="81">
        <v>0</v>
      </c>
      <c r="I31" s="89">
        <v>0</v>
      </c>
    </row>
    <row r="32" s="98" customFormat="1" ht="18" customHeight="1" spans="1:9">
      <c r="A32" s="108" t="s">
        <v>5</v>
      </c>
      <c r="B32" s="109" t="s">
        <v>91</v>
      </c>
      <c r="C32" s="116" t="s">
        <v>5</v>
      </c>
      <c r="D32" s="111" t="s">
        <v>92</v>
      </c>
      <c r="E32" s="109" t="s">
        <v>96</v>
      </c>
      <c r="F32" s="115">
        <f t="shared" si="0"/>
        <v>0</v>
      </c>
      <c r="G32" s="81">
        <v>0</v>
      </c>
      <c r="H32" s="81">
        <v>0</v>
      </c>
      <c r="I32" s="89">
        <v>0</v>
      </c>
    </row>
    <row r="33" s="98" customFormat="1" ht="18" customHeight="1" spans="1:9">
      <c r="A33" s="108" t="s">
        <v>5</v>
      </c>
      <c r="B33" s="109" t="s">
        <v>94</v>
      </c>
      <c r="C33" s="116" t="s">
        <v>5</v>
      </c>
      <c r="D33" s="111" t="s">
        <v>95</v>
      </c>
      <c r="E33" s="109" t="s">
        <v>100</v>
      </c>
      <c r="F33" s="115">
        <f t="shared" si="0"/>
        <v>0</v>
      </c>
      <c r="G33" s="81">
        <v>0</v>
      </c>
      <c r="H33" s="81">
        <v>0</v>
      </c>
      <c r="I33" s="89">
        <v>0</v>
      </c>
    </row>
    <row r="34" s="99" customFormat="1" ht="18" customHeight="1" spans="1:9">
      <c r="A34" s="107" t="s">
        <v>97</v>
      </c>
      <c r="B34" s="106" t="s">
        <v>98</v>
      </c>
      <c r="C34" s="117">
        <f t="shared" ref="C34:I34" si="1">SUM(C8:C33)</f>
        <v>8674.836476</v>
      </c>
      <c r="D34" s="106" t="s">
        <v>99</v>
      </c>
      <c r="E34" s="106" t="s">
        <v>104</v>
      </c>
      <c r="F34" s="118">
        <f t="shared" si="0"/>
        <v>8674.836476</v>
      </c>
      <c r="G34" s="119">
        <f t="shared" si="1"/>
        <v>8452.128316</v>
      </c>
      <c r="H34" s="119">
        <f t="shared" si="1"/>
        <v>222.70816</v>
      </c>
      <c r="I34" s="120">
        <f t="shared" si="1"/>
        <v>0</v>
      </c>
    </row>
    <row r="35" s="98" customFormat="1" ht="18" customHeight="1" spans="1:9">
      <c r="A35" s="108" t="s">
        <v>233</v>
      </c>
      <c r="B35" s="109" t="s">
        <v>102</v>
      </c>
      <c r="C35" s="121" t="s">
        <v>5</v>
      </c>
      <c r="D35" s="111" t="s">
        <v>234</v>
      </c>
      <c r="E35" s="109" t="s">
        <v>108</v>
      </c>
      <c r="F35" s="122" t="s">
        <v>5</v>
      </c>
      <c r="G35" s="123" t="s">
        <v>5</v>
      </c>
      <c r="H35" s="123" t="s">
        <v>5</v>
      </c>
      <c r="I35" s="124" t="s">
        <v>5</v>
      </c>
    </row>
    <row r="36" s="98" customFormat="1" ht="18" customHeight="1" spans="1:9">
      <c r="A36" s="108" t="s">
        <v>235</v>
      </c>
      <c r="B36" s="109" t="s">
        <v>106</v>
      </c>
      <c r="C36" s="125" t="s">
        <v>5</v>
      </c>
      <c r="D36" s="111" t="s">
        <v>5</v>
      </c>
      <c r="E36" s="109" t="s">
        <v>110</v>
      </c>
      <c r="F36" s="126" t="s">
        <v>5</v>
      </c>
      <c r="G36" s="127" t="s">
        <v>5</v>
      </c>
      <c r="H36" s="127" t="s">
        <v>5</v>
      </c>
      <c r="I36" s="128" t="s">
        <v>5</v>
      </c>
    </row>
    <row r="37" s="98" customFormat="1" ht="18" customHeight="1" spans="1:9">
      <c r="A37" s="108" t="s">
        <v>236</v>
      </c>
      <c r="B37" s="109" t="s">
        <v>109</v>
      </c>
      <c r="C37" s="125" t="s">
        <v>5</v>
      </c>
      <c r="D37" s="111" t="s">
        <v>5</v>
      </c>
      <c r="E37" s="109" t="s">
        <v>113</v>
      </c>
      <c r="F37" s="125" t="s">
        <v>5</v>
      </c>
      <c r="G37" s="125" t="s">
        <v>5</v>
      </c>
      <c r="H37" s="125" t="s">
        <v>5</v>
      </c>
      <c r="I37" s="125" t="s">
        <v>5</v>
      </c>
    </row>
    <row r="38" s="98" customFormat="1" ht="18" customHeight="1" spans="1:9">
      <c r="A38" s="108" t="s">
        <v>237</v>
      </c>
      <c r="B38" s="109" t="s">
        <v>112</v>
      </c>
      <c r="C38" s="125" t="s">
        <v>5</v>
      </c>
      <c r="D38" s="111" t="s">
        <v>5</v>
      </c>
      <c r="E38" s="109" t="s">
        <v>238</v>
      </c>
      <c r="F38" s="125" t="s">
        <v>5</v>
      </c>
      <c r="G38" s="125" t="s">
        <v>5</v>
      </c>
      <c r="H38" s="125" t="s">
        <v>5</v>
      </c>
      <c r="I38" s="125" t="s">
        <v>5</v>
      </c>
    </row>
    <row r="39" s="99" customFormat="1" ht="18" customHeight="1" spans="1:9">
      <c r="A39" s="107" t="s">
        <v>111</v>
      </c>
      <c r="B39" s="129" t="s">
        <v>15</v>
      </c>
      <c r="C39" s="130" t="s">
        <v>5</v>
      </c>
      <c r="D39" s="106" t="s">
        <v>111</v>
      </c>
      <c r="E39" s="106" t="s">
        <v>239</v>
      </c>
      <c r="F39" s="130">
        <f>SUM(F34:F38)</f>
        <v>8674.836476</v>
      </c>
      <c r="G39" s="130">
        <f>SUM(G34:G38)</f>
        <v>8452.128316</v>
      </c>
      <c r="H39" s="130">
        <f>SUM(H34:H38)</f>
        <v>222.70816</v>
      </c>
      <c r="I39" s="130">
        <f>SUM(I34:I38)</f>
        <v>0</v>
      </c>
    </row>
    <row r="40" s="98" customFormat="1" ht="18" customHeight="1" spans="1:9">
      <c r="A40" s="131" t="s">
        <v>240</v>
      </c>
      <c r="B40" s="131" t="s">
        <v>5</v>
      </c>
      <c r="C40" s="131" t="s">
        <v>5</v>
      </c>
      <c r="D40" s="131" t="s">
        <v>5</v>
      </c>
      <c r="E40" s="131" t="s">
        <v>5</v>
      </c>
      <c r="F40" s="131" t="s">
        <v>5</v>
      </c>
      <c r="G40" s="131" t="s">
        <v>5</v>
      </c>
      <c r="H40" s="131" t="s">
        <v>5</v>
      </c>
      <c r="I40" s="131" t="s">
        <v>5</v>
      </c>
    </row>
    <row r="41" s="98" customFormat="1" ht="18" customHeight="1" spans="1:9">
      <c r="A41" s="131" t="s">
        <v>241</v>
      </c>
      <c r="B41" s="131" t="s">
        <v>5</v>
      </c>
      <c r="C41" s="131" t="s">
        <v>5</v>
      </c>
      <c r="D41" s="131" t="s">
        <v>5</v>
      </c>
      <c r="E41" s="131" t="s">
        <v>5</v>
      </c>
      <c r="F41" s="131" t="s">
        <v>5</v>
      </c>
      <c r="G41" s="131" t="s">
        <v>5</v>
      </c>
      <c r="H41" s="131" t="s">
        <v>5</v>
      </c>
      <c r="I41" s="131" t="s">
        <v>5</v>
      </c>
    </row>
    <row r="43" spans="1:9">
      <c r="D43" s="97" t="s">
        <v>242</v>
      </c>
    </row>
  </sheetData>
  <mergeCells count="46">
    <mergeCell ref="A1:I1"/>
    <mergeCell ref="A4:C4"/>
    <mergeCell ref="A4:C4"/>
    <mergeCell ref="A4:C4"/>
    <mergeCell ref="D4:I4"/>
    <mergeCell ref="D4:I4"/>
    <mergeCell ref="D4:I4"/>
    <mergeCell ref="D4:I4"/>
    <mergeCell ref="D4:I4"/>
    <mergeCell ref="D4:I4"/>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zoomScaleSheetLayoutView="60" workbookViewId="0">
      <pane xSplit="4" ySplit="8" topLeftCell="E9" activePane="bottomRight" state="frozen"/>
      <selection/>
      <selection pane="topRight"/>
      <selection pane="bottomLeft"/>
      <selection pane="bottomRight" activeCell="D42" sqref="D42"/>
    </sheetView>
  </sheetViews>
  <sheetFormatPr defaultColWidth="8.88571428571429" defaultRowHeight="12.75" outlineLevelCol="6"/>
  <cols>
    <col min="1" max="1" width="4" style="68" customWidth="1"/>
    <col min="2" max="2" width="4.42857142857143" style="68" customWidth="1"/>
    <col min="3" max="3" width="4.13333333333333" style="68" customWidth="1"/>
    <col min="4" max="4" width="33.5714285714286" style="68" customWidth="1"/>
    <col min="5" max="7" width="16" style="68" customWidth="1"/>
    <col min="8" max="16384" width="8.88571428571429" style="68"/>
  </cols>
  <sheetData>
    <row r="1" s="52" customFormat="1" ht="27" customHeight="1" spans="1:7">
      <c r="A1" s="50" t="s">
        <v>243</v>
      </c>
      <c r="B1" s="51"/>
      <c r="C1" s="51"/>
      <c r="D1" s="51"/>
      <c r="E1" s="50" t="s">
        <v>243</v>
      </c>
      <c r="F1" s="51"/>
      <c r="G1" s="51"/>
    </row>
    <row r="2" s="49" customFormat="1" ht="20" customHeight="1" spans="1:7">
      <c r="G2" s="53" t="s">
        <v>244</v>
      </c>
    </row>
    <row r="3" s="49" customFormat="1" ht="20" customHeight="1" spans="1:7">
      <c r="A3" s="49" t="str">
        <f>财政拨款收入支出决算总表!A3</f>
        <v>部门：岳阳县自然资源局</v>
      </c>
      <c r="G3" s="53" t="s">
        <v>3</v>
      </c>
    </row>
    <row r="4" s="56" customFormat="1" ht="20" customHeight="1" spans="1:7">
      <c r="A4" s="69" t="s">
        <v>7</v>
      </c>
      <c r="B4" s="70" t="s">
        <v>5</v>
      </c>
      <c r="C4" s="70" t="s">
        <v>5</v>
      </c>
      <c r="D4" s="70" t="s">
        <v>119</v>
      </c>
      <c r="E4" s="70" t="s">
        <v>245</v>
      </c>
      <c r="F4" s="70" t="s">
        <v>5</v>
      </c>
      <c r="G4" s="70" t="s">
        <v>5</v>
      </c>
    </row>
    <row r="5" s="56" customFormat="1" ht="20" customHeight="1" spans="1:7">
      <c r="A5" s="57" t="s">
        <v>126</v>
      </c>
      <c r="B5" s="58" t="s">
        <v>5</v>
      </c>
      <c r="C5" s="58" t="s">
        <v>5</v>
      </c>
      <c r="D5" s="58" t="s">
        <v>119</v>
      </c>
      <c r="E5" s="58" t="s">
        <v>127</v>
      </c>
      <c r="F5" s="58" t="s">
        <v>216</v>
      </c>
      <c r="G5" s="58" t="s">
        <v>217</v>
      </c>
    </row>
    <row r="6" s="56" customFormat="1" ht="20" customHeight="1" spans="1:7">
      <c r="A6" s="57" t="s">
        <v>5</v>
      </c>
      <c r="B6" s="58" t="s">
        <v>5</v>
      </c>
      <c r="C6" s="58" t="s">
        <v>5</v>
      </c>
      <c r="D6" s="58" t="s">
        <v>5</v>
      </c>
      <c r="E6" s="58" t="s">
        <v>5</v>
      </c>
      <c r="F6" s="58" t="s">
        <v>127</v>
      </c>
      <c r="G6" s="58" t="s">
        <v>127</v>
      </c>
    </row>
    <row r="7" s="56" customFormat="1" ht="20" customHeight="1" spans="1:7">
      <c r="A7" s="57" t="s">
        <v>5</v>
      </c>
      <c r="B7" s="58" t="s">
        <v>5</v>
      </c>
      <c r="C7" s="58" t="s">
        <v>5</v>
      </c>
      <c r="D7" s="58" t="s">
        <v>5</v>
      </c>
      <c r="E7" s="58" t="s">
        <v>5</v>
      </c>
      <c r="F7" s="58" t="s">
        <v>5</v>
      </c>
      <c r="G7" s="58" t="s">
        <v>5</v>
      </c>
    </row>
    <row r="8" s="56" customFormat="1" ht="20" customHeight="1" spans="1:7">
      <c r="A8" s="57" t="s">
        <v>10</v>
      </c>
      <c r="B8" s="58" t="s">
        <v>128</v>
      </c>
      <c r="C8" s="58" t="s">
        <v>129</v>
      </c>
      <c r="D8" s="58" t="s">
        <v>10</v>
      </c>
      <c r="E8" s="66" t="s">
        <v>11</v>
      </c>
      <c r="F8" s="66" t="s">
        <v>12</v>
      </c>
      <c r="G8" s="66" t="s">
        <v>20</v>
      </c>
    </row>
    <row r="9" s="56" customFormat="1" ht="20" customHeight="1" spans="1:7">
      <c r="A9" s="57" t="s">
        <v>130</v>
      </c>
      <c r="B9" s="58" t="s">
        <v>5</v>
      </c>
      <c r="C9" s="58" t="s">
        <v>5</v>
      </c>
      <c r="D9" s="58" t="s">
        <v>130</v>
      </c>
      <c r="E9" s="71">
        <f>F9+G9</f>
        <v>8251.845057</v>
      </c>
      <c r="F9" s="71">
        <f>F10+F13+F22+F35+F44+F47+F26+F32+F29</f>
        <v>5491.879175</v>
      </c>
      <c r="G9" s="71">
        <f>G10+G13+G22+G35+G44+G47+G26+G32+G29</f>
        <v>2759.965882</v>
      </c>
    </row>
    <row r="10" s="56" customFormat="1" ht="21" customHeight="1" spans="1:7">
      <c r="A10" s="72">
        <v>206</v>
      </c>
      <c r="B10" s="73"/>
      <c r="C10" s="74"/>
      <c r="D10" s="75" t="s">
        <v>131</v>
      </c>
      <c r="E10" s="71">
        <f>SUM(F10:G10)</f>
        <v>94</v>
      </c>
      <c r="F10" s="76">
        <f>F11</f>
        <v>94</v>
      </c>
      <c r="G10" s="76">
        <f>G11</f>
        <v>0</v>
      </c>
    </row>
    <row r="11" s="49" customFormat="1" ht="21" customHeight="1" spans="1:7">
      <c r="A11" s="77">
        <v>20604</v>
      </c>
      <c r="B11" s="78"/>
      <c r="C11" s="79"/>
      <c r="D11" s="80" t="s">
        <v>132</v>
      </c>
      <c r="E11" s="81">
        <f>SUM(F11:G11)</f>
        <v>94</v>
      </c>
      <c r="F11" s="81">
        <f>F12</f>
        <v>94</v>
      </c>
      <c r="G11" s="81">
        <f>G12</f>
        <v>0</v>
      </c>
    </row>
    <row r="12" s="49" customFormat="1" ht="21" customHeight="1" spans="1:7">
      <c r="A12" s="82" t="s">
        <v>133</v>
      </c>
      <c r="B12" s="83"/>
      <c r="C12" s="84"/>
      <c r="D12" s="80" t="s">
        <v>134</v>
      </c>
      <c r="E12" s="81">
        <f>SUM(F12:G12)</f>
        <v>94</v>
      </c>
      <c r="F12" s="81">
        <f>940000/10000</f>
        <v>94</v>
      </c>
      <c r="G12" s="81">
        <v>0</v>
      </c>
    </row>
    <row r="13" s="56" customFormat="1" ht="20" customHeight="1" spans="1:7">
      <c r="A13" s="85">
        <v>208</v>
      </c>
      <c r="B13" s="85"/>
      <c r="C13" s="85"/>
      <c r="D13" s="85" t="s">
        <v>136</v>
      </c>
      <c r="E13" s="71">
        <f>F13+G13</f>
        <v>370.194492</v>
      </c>
      <c r="F13" s="86">
        <f>F14+F16+F20+F18</f>
        <v>361.899192</v>
      </c>
      <c r="G13" s="86">
        <f>G14+G16+G20+G18</f>
        <v>8.2953</v>
      </c>
    </row>
    <row r="14" s="49" customFormat="1" ht="20" customHeight="1" spans="1:7">
      <c r="A14" s="87" t="s">
        <v>137</v>
      </c>
      <c r="B14" s="87"/>
      <c r="C14" s="87"/>
      <c r="D14" s="87" t="s">
        <v>138</v>
      </c>
      <c r="E14" s="88">
        <f>F14+G14</f>
        <v>337.420416</v>
      </c>
      <c r="F14" s="81">
        <f t="shared" ref="F14:F18" si="0">F15</f>
        <v>337.420416</v>
      </c>
      <c r="G14" s="89">
        <f t="shared" ref="G14:G18" si="1">G15</f>
        <v>0</v>
      </c>
    </row>
    <row r="15" s="49" customFormat="1" ht="20" customHeight="1" spans="1:7">
      <c r="A15" s="87" t="s">
        <v>139</v>
      </c>
      <c r="B15" s="87"/>
      <c r="C15" s="87"/>
      <c r="D15" s="87" t="s">
        <v>140</v>
      </c>
      <c r="E15" s="88">
        <f>F15+G15</f>
        <v>337.420416</v>
      </c>
      <c r="F15" s="81">
        <f>3374204.16/10000</f>
        <v>337.420416</v>
      </c>
      <c r="G15" s="89">
        <v>0</v>
      </c>
    </row>
    <row r="16" s="49" customFormat="1" ht="20" customHeight="1" spans="1:7">
      <c r="A16" s="87" t="s">
        <v>141</v>
      </c>
      <c r="B16" s="87"/>
      <c r="C16" s="87"/>
      <c r="D16" s="87" t="s">
        <v>142</v>
      </c>
      <c r="E16" s="88">
        <f>F16+G16</f>
        <v>3.39</v>
      </c>
      <c r="F16" s="81">
        <f t="shared" si="0"/>
        <v>3.39</v>
      </c>
      <c r="G16" s="89">
        <f t="shared" si="1"/>
        <v>0</v>
      </c>
    </row>
    <row r="17" s="49" customFormat="1" ht="20" customHeight="1" spans="1:7">
      <c r="A17" s="87" t="s">
        <v>143</v>
      </c>
      <c r="B17" s="87"/>
      <c r="C17" s="87"/>
      <c r="D17" s="87" t="s">
        <v>144</v>
      </c>
      <c r="E17" s="88">
        <f>F17+G17</f>
        <v>3.39</v>
      </c>
      <c r="F17" s="81">
        <f>33900/10000</f>
        <v>3.39</v>
      </c>
      <c r="G17" s="89">
        <v>0</v>
      </c>
    </row>
    <row r="18" s="49" customFormat="1" ht="21" customHeight="1" spans="1:7">
      <c r="A18" s="82">
        <v>20811</v>
      </c>
      <c r="B18" s="83"/>
      <c r="C18" s="84"/>
      <c r="D18" s="87" t="s">
        <v>145</v>
      </c>
      <c r="E18" s="81">
        <f>SUM(F18:G18)</f>
        <v>8.2953</v>
      </c>
      <c r="F18" s="81">
        <f t="shared" si="0"/>
        <v>0</v>
      </c>
      <c r="G18" s="81">
        <f t="shared" si="1"/>
        <v>8.2953</v>
      </c>
    </row>
    <row r="19" s="49" customFormat="1" ht="21" customHeight="1" spans="1:7">
      <c r="A19" s="82">
        <v>2081199</v>
      </c>
      <c r="B19" s="83"/>
      <c r="C19" s="84"/>
      <c r="D19" s="87" t="s">
        <v>146</v>
      </c>
      <c r="E19" s="81">
        <f>SUM(F19:G19)</f>
        <v>8.2953</v>
      </c>
      <c r="F19" s="81">
        <v>0</v>
      </c>
      <c r="G19" s="81">
        <f>82953/10000</f>
        <v>8.2953</v>
      </c>
    </row>
    <row r="20" s="49" customFormat="1" ht="20" customHeight="1" spans="1:7">
      <c r="A20" s="87" t="s">
        <v>147</v>
      </c>
      <c r="B20" s="87"/>
      <c r="C20" s="87"/>
      <c r="D20" s="87" t="s">
        <v>148</v>
      </c>
      <c r="E20" s="88">
        <f t="shared" ref="E20:E25" si="2">F20+G20</f>
        <v>21.088776</v>
      </c>
      <c r="F20" s="81">
        <f>F21</f>
        <v>21.088776</v>
      </c>
      <c r="G20" s="89">
        <f>G21</f>
        <v>0</v>
      </c>
    </row>
    <row r="21" s="49" customFormat="1" ht="20" customHeight="1" spans="1:7">
      <c r="A21" s="87" t="s">
        <v>149</v>
      </c>
      <c r="B21" s="87"/>
      <c r="C21" s="87"/>
      <c r="D21" s="87" t="s">
        <v>148</v>
      </c>
      <c r="E21" s="88">
        <f t="shared" si="2"/>
        <v>21.088776</v>
      </c>
      <c r="F21" s="81">
        <f>210887.76/10000</f>
        <v>21.088776</v>
      </c>
      <c r="G21" s="89">
        <v>0</v>
      </c>
    </row>
    <row r="22" s="56" customFormat="1" ht="20" customHeight="1" spans="1:7">
      <c r="A22" s="85" t="s">
        <v>150</v>
      </c>
      <c r="B22" s="85"/>
      <c r="C22" s="85"/>
      <c r="D22" s="85" t="s">
        <v>151</v>
      </c>
      <c r="E22" s="71">
        <f t="shared" si="2"/>
        <v>200.343372</v>
      </c>
      <c r="F22" s="86">
        <f>F23</f>
        <v>200.343372</v>
      </c>
      <c r="G22" s="86">
        <f t="shared" ref="G22:G27" si="3">G23</f>
        <v>0</v>
      </c>
    </row>
    <row r="23" s="49" customFormat="1" ht="20" customHeight="1" spans="1:7">
      <c r="A23" s="87" t="s">
        <v>152</v>
      </c>
      <c r="B23" s="87"/>
      <c r="C23" s="87"/>
      <c r="D23" s="87" t="s">
        <v>153</v>
      </c>
      <c r="E23" s="88">
        <f t="shared" si="2"/>
        <v>200.343372</v>
      </c>
      <c r="F23" s="89">
        <f>F24+F25</f>
        <v>200.343372</v>
      </c>
      <c r="G23" s="89">
        <f t="shared" si="3"/>
        <v>0</v>
      </c>
    </row>
    <row r="24" s="49" customFormat="1" ht="20" customHeight="1" spans="1:7">
      <c r="A24" s="87" t="s">
        <v>154</v>
      </c>
      <c r="B24" s="87"/>
      <c r="C24" s="87"/>
      <c r="D24" s="87" t="s">
        <v>155</v>
      </c>
      <c r="E24" s="88">
        <f t="shared" si="2"/>
        <v>179.254596</v>
      </c>
      <c r="F24" s="81">
        <f>1792545.96/10000</f>
        <v>179.254596</v>
      </c>
      <c r="G24" s="89">
        <v>0</v>
      </c>
    </row>
    <row r="25" s="56" customFormat="1" ht="20" customHeight="1" spans="1:7">
      <c r="A25" s="82">
        <v>2101103</v>
      </c>
      <c r="B25" s="83"/>
      <c r="C25" s="84"/>
      <c r="D25" s="87" t="s">
        <v>156</v>
      </c>
      <c r="E25" s="88">
        <f t="shared" si="2"/>
        <v>21.088776</v>
      </c>
      <c r="F25" s="81">
        <f>210887.76/10000</f>
        <v>21.088776</v>
      </c>
      <c r="G25" s="89">
        <v>0</v>
      </c>
    </row>
    <row r="26" s="49" customFormat="1" ht="21" customHeight="1" spans="1:7">
      <c r="A26" s="85">
        <v>211</v>
      </c>
      <c r="B26" s="85"/>
      <c r="C26" s="85"/>
      <c r="D26" s="85" t="s">
        <v>157</v>
      </c>
      <c r="E26" s="76">
        <f t="shared" ref="E26:E34" si="4">SUM(F26:G26)</f>
        <v>90</v>
      </c>
      <c r="F26" s="76">
        <f>F27</f>
        <v>0</v>
      </c>
      <c r="G26" s="76">
        <f t="shared" si="3"/>
        <v>90</v>
      </c>
    </row>
    <row r="27" s="49" customFormat="1" ht="21" customHeight="1" spans="1:7">
      <c r="A27" s="82">
        <v>21104</v>
      </c>
      <c r="B27" s="83"/>
      <c r="C27" s="84"/>
      <c r="D27" s="87" t="s">
        <v>158</v>
      </c>
      <c r="E27" s="81">
        <f t="shared" si="4"/>
        <v>90</v>
      </c>
      <c r="F27" s="81">
        <f t="shared" ref="F27:F33" si="5">F28</f>
        <v>0</v>
      </c>
      <c r="G27" s="81">
        <f t="shared" si="3"/>
        <v>90</v>
      </c>
    </row>
    <row r="28" s="49" customFormat="1" ht="21" customHeight="1" spans="1:7">
      <c r="A28" s="82" t="s">
        <v>159</v>
      </c>
      <c r="B28" s="83"/>
      <c r="C28" s="84"/>
      <c r="D28" s="87" t="s">
        <v>160</v>
      </c>
      <c r="E28" s="81">
        <f t="shared" si="4"/>
        <v>90</v>
      </c>
      <c r="F28" s="81">
        <v>0</v>
      </c>
      <c r="G28" s="81">
        <f>900000/10000</f>
        <v>90</v>
      </c>
    </row>
    <row r="29" s="56" customFormat="1" ht="21" customHeight="1" spans="1:7">
      <c r="A29" s="90" t="s">
        <v>161</v>
      </c>
      <c r="B29" s="90"/>
      <c r="C29" s="90"/>
      <c r="D29" s="90" t="s">
        <v>162</v>
      </c>
      <c r="E29" s="91">
        <f t="shared" si="4"/>
        <v>30</v>
      </c>
      <c r="F29" s="91">
        <f t="shared" si="5"/>
        <v>30</v>
      </c>
      <c r="G29" s="91">
        <f>G30</f>
        <v>0</v>
      </c>
    </row>
    <row r="30" s="56" customFormat="1" ht="21" customHeight="1" spans="1:7">
      <c r="A30" s="82">
        <v>21201</v>
      </c>
      <c r="B30" s="83"/>
      <c r="C30" s="84"/>
      <c r="D30" s="87" t="s">
        <v>163</v>
      </c>
      <c r="E30" s="81">
        <f t="shared" si="4"/>
        <v>30</v>
      </c>
      <c r="F30" s="81">
        <f t="shared" si="5"/>
        <v>30</v>
      </c>
      <c r="G30" s="81">
        <v>0</v>
      </c>
    </row>
    <row r="31" s="56" customFormat="1" ht="21" customHeight="1" spans="1:7">
      <c r="A31" s="82" t="s">
        <v>164</v>
      </c>
      <c r="B31" s="83"/>
      <c r="C31" s="84"/>
      <c r="D31" s="87" t="s">
        <v>165</v>
      </c>
      <c r="E31" s="81">
        <f t="shared" si="4"/>
        <v>30</v>
      </c>
      <c r="F31" s="81">
        <f>300000/10000</f>
        <v>30</v>
      </c>
      <c r="G31" s="81">
        <v>0</v>
      </c>
    </row>
    <row r="32" s="56" customFormat="1" ht="21" customHeight="1" spans="1:7">
      <c r="A32" s="85">
        <v>213</v>
      </c>
      <c r="B32" s="85"/>
      <c r="C32" s="85"/>
      <c r="D32" s="85" t="s">
        <v>172</v>
      </c>
      <c r="E32" s="76">
        <f t="shared" si="4"/>
        <v>116.961</v>
      </c>
      <c r="F32" s="76">
        <f t="shared" si="5"/>
        <v>0</v>
      </c>
      <c r="G32" s="76">
        <f>G33</f>
        <v>116.961</v>
      </c>
    </row>
    <row r="33" s="49" customFormat="1" ht="21" customHeight="1" spans="1:7">
      <c r="A33" s="87">
        <v>21301</v>
      </c>
      <c r="B33" s="87"/>
      <c r="C33" s="87"/>
      <c r="D33" s="87" t="s">
        <v>173</v>
      </c>
      <c r="E33" s="81">
        <f t="shared" si="4"/>
        <v>116.961</v>
      </c>
      <c r="F33" s="81">
        <f t="shared" si="5"/>
        <v>0</v>
      </c>
      <c r="G33" s="81">
        <f>G34</f>
        <v>116.961</v>
      </c>
    </row>
    <row r="34" s="49" customFormat="1" ht="21" customHeight="1" spans="1:7">
      <c r="A34" s="87" t="s">
        <v>174</v>
      </c>
      <c r="B34" s="87"/>
      <c r="C34" s="87"/>
      <c r="D34" s="87" t="s">
        <v>175</v>
      </c>
      <c r="E34" s="81">
        <f t="shared" si="4"/>
        <v>116.961</v>
      </c>
      <c r="F34" s="81">
        <v>0</v>
      </c>
      <c r="G34" s="81">
        <f>1169610/10000</f>
        <v>116.961</v>
      </c>
    </row>
    <row r="35" s="56" customFormat="1" ht="20" customHeight="1" spans="1:7">
      <c r="A35" s="85" t="s">
        <v>176</v>
      </c>
      <c r="B35" s="85"/>
      <c r="C35" s="85"/>
      <c r="D35" s="85" t="s">
        <v>177</v>
      </c>
      <c r="E35" s="71">
        <f>F35+G35</f>
        <v>7037.280881</v>
      </c>
      <c r="F35" s="86">
        <f>F36</f>
        <v>4552.571299</v>
      </c>
      <c r="G35" s="86">
        <f>G36</f>
        <v>2484.709582</v>
      </c>
    </row>
    <row r="36" s="49" customFormat="1" ht="20" customHeight="1" spans="1:7">
      <c r="A36" s="87" t="s">
        <v>178</v>
      </c>
      <c r="B36" s="87"/>
      <c r="C36" s="87"/>
      <c r="D36" s="87" t="s">
        <v>179</v>
      </c>
      <c r="E36" s="88">
        <f>F36+G36</f>
        <v>7037.280881</v>
      </c>
      <c r="F36" s="89">
        <f>SUM(F37:F43)</f>
        <v>4552.571299</v>
      </c>
      <c r="G36" s="89">
        <f>SUM(G37:G43)</f>
        <v>2484.709582</v>
      </c>
    </row>
    <row r="37" s="49" customFormat="1" ht="20" customHeight="1" spans="1:7">
      <c r="A37" s="87" t="s">
        <v>180</v>
      </c>
      <c r="B37" s="87"/>
      <c r="C37" s="87"/>
      <c r="D37" s="87" t="s">
        <v>181</v>
      </c>
      <c r="E37" s="88">
        <f>F37+G37</f>
        <v>4018.284134</v>
      </c>
      <c r="F37" s="81">
        <f>40182841.34/10000</f>
        <v>4018.284134</v>
      </c>
      <c r="G37" s="89">
        <v>0</v>
      </c>
    </row>
    <row r="38" s="49" customFormat="1" ht="21" customHeight="1" spans="1:7">
      <c r="A38" s="92" t="s">
        <v>182</v>
      </c>
      <c r="B38" s="92"/>
      <c r="C38" s="92"/>
      <c r="D38" s="92" t="s">
        <v>183</v>
      </c>
      <c r="E38" s="93">
        <f>SUM(F38:G38)</f>
        <v>129</v>
      </c>
      <c r="F38" s="93">
        <f>0/10000</f>
        <v>0</v>
      </c>
      <c r="G38" s="93">
        <f>1290000/10000</f>
        <v>129</v>
      </c>
    </row>
    <row r="39" s="49" customFormat="1" ht="21" customHeight="1" spans="1:7">
      <c r="A39" s="92" t="s">
        <v>184</v>
      </c>
      <c r="B39" s="92"/>
      <c r="C39" s="92"/>
      <c r="D39" s="92" t="s">
        <v>185</v>
      </c>
      <c r="E39" s="93">
        <f>SUM(F39:G39)</f>
        <v>30.1805</v>
      </c>
      <c r="F39" s="93">
        <v>0</v>
      </c>
      <c r="G39" s="93">
        <f>301805/10000</f>
        <v>30.1805</v>
      </c>
    </row>
    <row r="40" s="49" customFormat="1" ht="21" customHeight="1" spans="1:7">
      <c r="A40" s="82" t="s">
        <v>186</v>
      </c>
      <c r="B40" s="83"/>
      <c r="C40" s="84"/>
      <c r="D40" s="87" t="s">
        <v>187</v>
      </c>
      <c r="E40" s="81">
        <f>SUM(F40:G40)</f>
        <v>50</v>
      </c>
      <c r="F40" s="81">
        <v>0</v>
      </c>
      <c r="G40" s="81">
        <f>500000/10000</f>
        <v>50</v>
      </c>
    </row>
    <row r="41" s="49" customFormat="1" ht="21" customHeight="1" spans="1:7">
      <c r="A41" s="82" t="s">
        <v>188</v>
      </c>
      <c r="B41" s="83"/>
      <c r="C41" s="84"/>
      <c r="D41" s="87" t="s">
        <v>189</v>
      </c>
      <c r="E41" s="81">
        <f>SUM(F41:G41)</f>
        <v>48.98</v>
      </c>
      <c r="F41" s="81">
        <v>0</v>
      </c>
      <c r="G41" s="81">
        <f>489800/10000</f>
        <v>48.98</v>
      </c>
    </row>
    <row r="42" s="49" customFormat="1" ht="21" customHeight="1" spans="1:7">
      <c r="A42" s="82" t="s">
        <v>190</v>
      </c>
      <c r="B42" s="83"/>
      <c r="C42" s="84"/>
      <c r="D42" s="87" t="s">
        <v>191</v>
      </c>
      <c r="E42" s="81">
        <f>SUM(F42:G42)</f>
        <v>48</v>
      </c>
      <c r="F42" s="81">
        <v>0</v>
      </c>
      <c r="G42" s="81">
        <f>480000/10000</f>
        <v>48</v>
      </c>
    </row>
    <row r="43" s="49" customFormat="1" ht="20" customHeight="1" spans="1:7">
      <c r="A43" s="87" t="s">
        <v>192</v>
      </c>
      <c r="B43" s="87"/>
      <c r="C43" s="87"/>
      <c r="D43" s="87" t="s">
        <v>193</v>
      </c>
      <c r="E43" s="88">
        <f t="shared" ref="E43:E49" si="6">F43+G43</f>
        <v>2712.836247</v>
      </c>
      <c r="F43" s="81">
        <f>5342871.65/10000</f>
        <v>534.287165</v>
      </c>
      <c r="G43" s="89">
        <f>21785490.82/10000</f>
        <v>2178.549082</v>
      </c>
    </row>
    <row r="44" s="56" customFormat="1" ht="20" customHeight="1" spans="1:7">
      <c r="A44" s="85" t="s">
        <v>194</v>
      </c>
      <c r="B44" s="85"/>
      <c r="C44" s="85"/>
      <c r="D44" s="85" t="s">
        <v>195</v>
      </c>
      <c r="E44" s="71">
        <f t="shared" si="6"/>
        <v>253.065312</v>
      </c>
      <c r="F44" s="86">
        <f>F45</f>
        <v>253.065312</v>
      </c>
      <c r="G44" s="86">
        <f>G45</f>
        <v>0</v>
      </c>
    </row>
    <row r="45" s="49" customFormat="1" ht="20" customHeight="1" spans="1:7">
      <c r="A45" s="87" t="s">
        <v>196</v>
      </c>
      <c r="B45" s="87"/>
      <c r="C45" s="87"/>
      <c r="D45" s="87" t="s">
        <v>197</v>
      </c>
      <c r="E45" s="88">
        <f t="shared" si="6"/>
        <v>253.065312</v>
      </c>
      <c r="F45" s="89">
        <f>F46</f>
        <v>253.065312</v>
      </c>
      <c r="G45" s="89">
        <f>G46</f>
        <v>0</v>
      </c>
    </row>
    <row r="46" s="49" customFormat="1" ht="20" customHeight="1" spans="1:7">
      <c r="A46" s="87" t="s">
        <v>198</v>
      </c>
      <c r="B46" s="87"/>
      <c r="C46" s="87"/>
      <c r="D46" s="87" t="s">
        <v>199</v>
      </c>
      <c r="E46" s="88">
        <f t="shared" si="6"/>
        <v>253.065312</v>
      </c>
      <c r="F46" s="81">
        <f>2530653.12/10000</f>
        <v>253.065312</v>
      </c>
      <c r="G46" s="89">
        <v>0</v>
      </c>
    </row>
    <row r="47" s="56" customFormat="1" ht="20" customHeight="1" spans="1:7">
      <c r="A47" s="85" t="s">
        <v>200</v>
      </c>
      <c r="B47" s="85"/>
      <c r="C47" s="85"/>
      <c r="D47" s="85" t="s">
        <v>201</v>
      </c>
      <c r="E47" s="71">
        <f t="shared" si="6"/>
        <v>60</v>
      </c>
      <c r="F47" s="86">
        <f>F48</f>
        <v>0</v>
      </c>
      <c r="G47" s="86">
        <f>G48</f>
        <v>60</v>
      </c>
    </row>
    <row r="48" s="49" customFormat="1" ht="20" customHeight="1" spans="1:7">
      <c r="A48" s="87" t="s">
        <v>202</v>
      </c>
      <c r="B48" s="87"/>
      <c r="C48" s="87"/>
      <c r="D48" s="87" t="s">
        <v>203</v>
      </c>
      <c r="E48" s="88">
        <f t="shared" si="6"/>
        <v>60</v>
      </c>
      <c r="F48" s="89">
        <f>F49</f>
        <v>0</v>
      </c>
      <c r="G48" s="89">
        <f>G49</f>
        <v>60</v>
      </c>
    </row>
    <row r="49" s="49" customFormat="1" ht="20" customHeight="1" spans="1:7">
      <c r="A49" s="94" t="s">
        <v>204</v>
      </c>
      <c r="B49" s="94"/>
      <c r="C49" s="94"/>
      <c r="D49" s="94" t="s">
        <v>205</v>
      </c>
      <c r="E49" s="88">
        <f t="shared" si="6"/>
        <v>60</v>
      </c>
      <c r="F49" s="95">
        <v>0</v>
      </c>
      <c r="G49" s="96">
        <f>600000/10000</f>
        <v>60</v>
      </c>
    </row>
    <row r="50" s="49" customFormat="1" ht="20" customHeight="1" spans="1:7">
      <c r="A50" s="67" t="s">
        <v>246</v>
      </c>
      <c r="B50" s="67" t="s">
        <v>5</v>
      </c>
      <c r="C50" s="67" t="s">
        <v>5</v>
      </c>
      <c r="D50" s="67" t="s">
        <v>5</v>
      </c>
      <c r="E50" s="67" t="s">
        <v>5</v>
      </c>
      <c r="F50" s="67" t="s">
        <v>5</v>
      </c>
      <c r="G50" s="67" t="s">
        <v>5</v>
      </c>
    </row>
    <row r="52" spans="1:7">
      <c r="E52" s="97" t="s">
        <v>247</v>
      </c>
    </row>
  </sheetData>
  <mergeCells count="84">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G50"/>
    <mergeCell ref="A50:G50"/>
    <mergeCell ref="A50:G50"/>
    <mergeCell ref="A50:G50"/>
    <mergeCell ref="A50:G50"/>
    <mergeCell ref="A50:G50"/>
    <mergeCell ref="A50:G50"/>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zoomScaleSheetLayoutView="60" workbookViewId="0">
      <pane xSplit="2" ySplit="6" topLeftCell="C13" activePane="bottomRight" state="frozen"/>
      <selection/>
      <selection pane="topRight"/>
      <selection pane="bottomLeft"/>
      <selection pane="bottomRight" activeCell="F23" sqref="F23"/>
    </sheetView>
  </sheetViews>
  <sheetFormatPr defaultColWidth="8.88571428571429" defaultRowHeight="12.75"/>
  <cols>
    <col min="1" max="1" width="9.28571428571429" style="5" customWidth="1"/>
    <col min="2" max="2" width="24.2857142857143" style="5" customWidth="1"/>
    <col min="3" max="3" width="16.2857142857143" style="5" customWidth="1"/>
    <col min="4" max="4" width="15.5714285714286" style="5" customWidth="1"/>
    <col min="5" max="5" width="17.8571428571429" style="5" customWidth="1"/>
    <col min="6" max="6" width="13.5714285714286" style="5" customWidth="1"/>
    <col min="7" max="7" width="8.28571428571429" style="5" customWidth="1"/>
    <col min="8" max="8" width="27.1428571428571" style="5" customWidth="1"/>
    <col min="9" max="9" width="17.1333333333333" style="5" customWidth="1"/>
    <col min="10" max="10" width="9.76190476190476" style="5"/>
    <col min="11" max="16384" width="8.88571428571429" style="5"/>
  </cols>
  <sheetData>
    <row r="1" s="1" customFormat="1" ht="23" customHeight="1" spans="1:10">
      <c r="A1" s="50" t="s">
        <v>248</v>
      </c>
      <c r="B1" s="51"/>
      <c r="C1" s="51"/>
      <c r="D1" s="51"/>
      <c r="E1" s="50" t="s">
        <v>248</v>
      </c>
      <c r="F1" s="51"/>
      <c r="G1" s="51"/>
      <c r="H1" s="51"/>
      <c r="I1" s="51"/>
      <c r="J1" s="52"/>
    </row>
    <row r="2" s="2" customFormat="1" ht="20" customHeight="1" spans="1:10">
      <c r="A2" s="49"/>
      <c r="B2" s="49"/>
      <c r="C2" s="49"/>
      <c r="D2" s="49"/>
      <c r="E2" s="49"/>
      <c r="F2" s="49"/>
      <c r="G2" s="49"/>
      <c r="H2" s="49"/>
      <c r="I2" s="53" t="s">
        <v>249</v>
      </c>
      <c r="J2" s="49"/>
    </row>
    <row r="3" s="2" customFormat="1" ht="20" customHeight="1" spans="1:10">
      <c r="A3" s="49" t="str">
        <f>一般公共预算财政拨款支出决算表!A3</f>
        <v>部门：岳阳县自然资源局</v>
      </c>
      <c r="B3" s="49"/>
      <c r="C3" s="49"/>
      <c r="D3" s="49"/>
      <c r="E3" s="49"/>
      <c r="F3" s="49"/>
      <c r="G3" s="49"/>
      <c r="H3" s="49"/>
      <c r="I3" s="53" t="s">
        <v>3</v>
      </c>
      <c r="J3" s="49"/>
    </row>
    <row r="4" s="3" customFormat="1" ht="20" customHeight="1" spans="1:10">
      <c r="A4" s="54" t="s">
        <v>250</v>
      </c>
      <c r="B4" s="55" t="s">
        <v>5</v>
      </c>
      <c r="C4" s="55" t="s">
        <v>5</v>
      </c>
      <c r="D4" s="55" t="s">
        <v>251</v>
      </c>
      <c r="E4" s="55" t="s">
        <v>5</v>
      </c>
      <c r="F4" s="55" t="s">
        <v>5</v>
      </c>
      <c r="G4" s="55" t="s">
        <v>5</v>
      </c>
      <c r="H4" s="55" t="s">
        <v>5</v>
      </c>
      <c r="I4" s="55" t="s">
        <v>5</v>
      </c>
      <c r="J4" s="56"/>
    </row>
    <row r="5" s="3" customFormat="1" ht="20" customHeight="1" spans="1:10">
      <c r="A5" s="57" t="s">
        <v>252</v>
      </c>
      <c r="B5" s="58" t="s">
        <v>119</v>
      </c>
      <c r="C5" s="58" t="s">
        <v>253</v>
      </c>
      <c r="D5" s="58" t="s">
        <v>252</v>
      </c>
      <c r="E5" s="58" t="s">
        <v>119</v>
      </c>
      <c r="F5" s="58" t="s">
        <v>253</v>
      </c>
      <c r="G5" s="58" t="s">
        <v>252</v>
      </c>
      <c r="H5" s="58" t="s">
        <v>119</v>
      </c>
      <c r="I5" s="58" t="s">
        <v>253</v>
      </c>
      <c r="J5" s="56"/>
    </row>
    <row r="6" s="3" customFormat="1" ht="20" customHeight="1" spans="1:10">
      <c r="A6" s="57" t="s">
        <v>5</v>
      </c>
      <c r="B6" s="58" t="s">
        <v>5</v>
      </c>
      <c r="C6" s="58" t="s">
        <v>5</v>
      </c>
      <c r="D6" s="58" t="s">
        <v>5</v>
      </c>
      <c r="E6" s="58" t="s">
        <v>5</v>
      </c>
      <c r="F6" s="58" t="s">
        <v>5</v>
      </c>
      <c r="G6" s="58" t="s">
        <v>5</v>
      </c>
      <c r="H6" s="58" t="s">
        <v>5</v>
      </c>
      <c r="I6" s="58" t="s">
        <v>5</v>
      </c>
      <c r="J6" s="56"/>
    </row>
    <row r="7" s="49" customFormat="1" ht="20" customHeight="1" spans="1:10">
      <c r="A7" s="59" t="s">
        <v>254</v>
      </c>
      <c r="B7" s="60" t="s">
        <v>255</v>
      </c>
      <c r="C7" s="61">
        <f>SUM(C8:C20)</f>
        <v>4594.138266</v>
      </c>
      <c r="D7" s="60" t="s">
        <v>256</v>
      </c>
      <c r="E7" s="60" t="s">
        <v>257</v>
      </c>
      <c r="F7" s="61">
        <f>SUM(F8:F34)</f>
        <v>807.079374</v>
      </c>
      <c r="G7" s="62" t="s">
        <v>258</v>
      </c>
      <c r="H7" s="60" t="s">
        <v>259</v>
      </c>
      <c r="I7" s="61" t="s">
        <v>5</v>
      </c>
    </row>
    <row r="8" s="49" customFormat="1" ht="20" customHeight="1" spans="1:10">
      <c r="A8" s="63" t="s">
        <v>260</v>
      </c>
      <c r="B8" s="62" t="s">
        <v>261</v>
      </c>
      <c r="C8" s="64">
        <f>17887461.53/10000</f>
        <v>1788.746153</v>
      </c>
      <c r="D8" s="62" t="s">
        <v>262</v>
      </c>
      <c r="E8" s="62" t="s">
        <v>263</v>
      </c>
      <c r="F8" s="64">
        <f>614984.43/10000</f>
        <v>61.498443</v>
      </c>
      <c r="G8" s="62" t="s">
        <v>264</v>
      </c>
      <c r="H8" s="62" t="s">
        <v>265</v>
      </c>
      <c r="I8" s="64" t="s">
        <v>5</v>
      </c>
    </row>
    <row r="9" s="49" customFormat="1" ht="20" customHeight="1" spans="1:10">
      <c r="A9" s="63" t="s">
        <v>266</v>
      </c>
      <c r="B9" s="62" t="s">
        <v>267</v>
      </c>
      <c r="C9" s="64">
        <f>4583689/10000</f>
        <v>458.3689</v>
      </c>
      <c r="D9" s="62" t="s">
        <v>268</v>
      </c>
      <c r="E9" s="62" t="s">
        <v>269</v>
      </c>
      <c r="F9" s="64">
        <f>75173/10000</f>
        <v>7.5173</v>
      </c>
      <c r="G9" s="62" t="s">
        <v>270</v>
      </c>
      <c r="H9" s="62" t="s">
        <v>271</v>
      </c>
      <c r="I9" s="64" t="s">
        <v>5</v>
      </c>
    </row>
    <row r="10" s="49" customFormat="1" ht="20" customHeight="1" spans="1:10">
      <c r="A10" s="63" t="s">
        <v>272</v>
      </c>
      <c r="B10" s="62" t="s">
        <v>273</v>
      </c>
      <c r="C10" s="64">
        <f>7161201.38/10000</f>
        <v>716.120138</v>
      </c>
      <c r="D10" s="62" t="s">
        <v>274</v>
      </c>
      <c r="E10" s="62" t="s">
        <v>275</v>
      </c>
      <c r="F10" s="64">
        <v>0</v>
      </c>
      <c r="G10" s="62" t="s">
        <v>276</v>
      </c>
      <c r="H10" s="60" t="s">
        <v>277</v>
      </c>
      <c r="I10" s="61">
        <f>SUM(I11:I26)</f>
        <v>1.8145</v>
      </c>
    </row>
    <row r="11" s="49" customFormat="1" ht="20" customHeight="1" spans="1:10">
      <c r="A11" s="63" t="s">
        <v>278</v>
      </c>
      <c r="B11" s="62" t="s">
        <v>279</v>
      </c>
      <c r="C11" s="64">
        <v>0</v>
      </c>
      <c r="D11" s="62" t="s">
        <v>280</v>
      </c>
      <c r="E11" s="62" t="s">
        <v>281</v>
      </c>
      <c r="F11" s="64">
        <v>0</v>
      </c>
      <c r="G11" s="62" t="s">
        <v>282</v>
      </c>
      <c r="H11" s="62" t="s">
        <v>283</v>
      </c>
      <c r="I11" s="64" t="s">
        <v>5</v>
      </c>
    </row>
    <row r="12" s="49" customFormat="1" ht="20" customHeight="1" spans="1:10">
      <c r="A12" s="63" t="s">
        <v>284</v>
      </c>
      <c r="B12" s="62" t="s">
        <v>285</v>
      </c>
      <c r="C12" s="64">
        <f>6169548/10000</f>
        <v>616.9548</v>
      </c>
      <c r="D12" s="62" t="s">
        <v>286</v>
      </c>
      <c r="E12" s="62" t="s">
        <v>287</v>
      </c>
      <c r="F12" s="64">
        <f>9153.7/10000</f>
        <v>0.91537</v>
      </c>
      <c r="G12" s="62" t="s">
        <v>288</v>
      </c>
      <c r="H12" s="62" t="s">
        <v>289</v>
      </c>
      <c r="I12" s="64">
        <f>18145/10000</f>
        <v>1.8145</v>
      </c>
    </row>
    <row r="13" s="49" customFormat="1" ht="20" customHeight="1" spans="1:10">
      <c r="A13" s="63" t="s">
        <v>290</v>
      </c>
      <c r="B13" s="62" t="s">
        <v>291</v>
      </c>
      <c r="C13" s="64">
        <f>4187533.06/10000</f>
        <v>418.753306</v>
      </c>
      <c r="D13" s="62" t="s">
        <v>292</v>
      </c>
      <c r="E13" s="62" t="s">
        <v>293</v>
      </c>
      <c r="F13" s="64">
        <f>231821.12/10000</f>
        <v>23.182112</v>
      </c>
      <c r="G13" s="62" t="s">
        <v>294</v>
      </c>
      <c r="H13" s="62" t="s">
        <v>295</v>
      </c>
      <c r="I13" s="64">
        <v>0</v>
      </c>
    </row>
    <row r="14" s="49" customFormat="1" ht="20" customHeight="1" spans="1:10">
      <c r="A14" s="63" t="s">
        <v>296</v>
      </c>
      <c r="B14" s="62" t="s">
        <v>297</v>
      </c>
      <c r="C14" s="64">
        <f>271087.76/10000</f>
        <v>27.108776</v>
      </c>
      <c r="D14" s="62" t="s">
        <v>298</v>
      </c>
      <c r="E14" s="62" t="s">
        <v>299</v>
      </c>
      <c r="F14" s="64">
        <f>30031/10000</f>
        <v>3.0031</v>
      </c>
      <c r="G14" s="62" t="s">
        <v>300</v>
      </c>
      <c r="H14" s="62" t="s">
        <v>301</v>
      </c>
      <c r="I14" s="64" t="s">
        <v>5</v>
      </c>
    </row>
    <row r="15" s="49" customFormat="1" ht="20" customHeight="1" spans="1:10">
      <c r="A15" s="63" t="s">
        <v>302</v>
      </c>
      <c r="B15" s="62" t="s">
        <v>303</v>
      </c>
      <c r="C15" s="64">
        <f>2298047.64/10000</f>
        <v>229.804764</v>
      </c>
      <c r="D15" s="62" t="s">
        <v>304</v>
      </c>
      <c r="E15" s="62" t="s">
        <v>305</v>
      </c>
      <c r="F15" s="64">
        <v>0</v>
      </c>
      <c r="G15" s="62" t="s">
        <v>306</v>
      </c>
      <c r="H15" s="62" t="s">
        <v>307</v>
      </c>
      <c r="I15" s="64" t="s">
        <v>5</v>
      </c>
    </row>
    <row r="16" s="49" customFormat="1" ht="20" customHeight="1" spans="1:10">
      <c r="A16" s="63" t="s">
        <v>308</v>
      </c>
      <c r="B16" s="62" t="s">
        <v>309</v>
      </c>
      <c r="C16" s="64">
        <f>305512.29/10000</f>
        <v>30.551229</v>
      </c>
      <c r="D16" s="62" t="s">
        <v>310</v>
      </c>
      <c r="E16" s="62" t="s">
        <v>311</v>
      </c>
      <c r="F16" s="64">
        <f>198450/10000</f>
        <v>19.845</v>
      </c>
      <c r="G16" s="62" t="s">
        <v>312</v>
      </c>
      <c r="H16" s="62" t="s">
        <v>313</v>
      </c>
      <c r="I16" s="64" t="s">
        <v>5</v>
      </c>
    </row>
    <row r="17" s="49" customFormat="1" ht="20" customHeight="1" spans="1:10">
      <c r="A17" s="63" t="s">
        <v>314</v>
      </c>
      <c r="B17" s="62" t="s">
        <v>315</v>
      </c>
      <c r="C17" s="64">
        <f>171614.42/10000</f>
        <v>17.161442</v>
      </c>
      <c r="D17" s="62" t="s">
        <v>316</v>
      </c>
      <c r="E17" s="62" t="s">
        <v>317</v>
      </c>
      <c r="F17" s="64">
        <f>161813/10000</f>
        <v>16.1813</v>
      </c>
      <c r="G17" s="62" t="s">
        <v>318</v>
      </c>
      <c r="H17" s="62" t="s">
        <v>319</v>
      </c>
      <c r="I17" s="64" t="s">
        <v>5</v>
      </c>
    </row>
    <row r="18" s="49" customFormat="1" ht="20" customHeight="1" spans="1:10">
      <c r="A18" s="63" t="s">
        <v>320</v>
      </c>
      <c r="B18" s="62" t="s">
        <v>321</v>
      </c>
      <c r="C18" s="64">
        <f>2905687.58/10000</f>
        <v>290.568758</v>
      </c>
      <c r="D18" s="62" t="s">
        <v>322</v>
      </c>
      <c r="E18" s="62" t="s">
        <v>323</v>
      </c>
      <c r="F18" s="64">
        <v>0</v>
      </c>
      <c r="G18" s="62" t="s">
        <v>324</v>
      </c>
      <c r="H18" s="62" t="s">
        <v>325</v>
      </c>
      <c r="I18" s="64" t="s">
        <v>5</v>
      </c>
    </row>
    <row r="19" s="49" customFormat="1" ht="20" customHeight="1" spans="1:10">
      <c r="A19" s="63" t="s">
        <v>326</v>
      </c>
      <c r="B19" s="62" t="s">
        <v>327</v>
      </c>
      <c r="C19" s="64">
        <v>0</v>
      </c>
      <c r="D19" s="62" t="s">
        <v>328</v>
      </c>
      <c r="E19" s="62" t="s">
        <v>329</v>
      </c>
      <c r="F19" s="64">
        <f>69074.58/10000</f>
        <v>6.907458</v>
      </c>
      <c r="G19" s="62" t="s">
        <v>330</v>
      </c>
      <c r="H19" s="62" t="s">
        <v>331</v>
      </c>
      <c r="I19" s="64" t="s">
        <v>5</v>
      </c>
    </row>
    <row r="20" s="49" customFormat="1" ht="20" customHeight="1" spans="1:10">
      <c r="A20" s="63" t="s">
        <v>332</v>
      </c>
      <c r="B20" s="62" t="s">
        <v>333</v>
      </c>
      <c r="C20" s="64">
        <v>0</v>
      </c>
      <c r="D20" s="62" t="s">
        <v>334</v>
      </c>
      <c r="E20" s="62" t="s">
        <v>335</v>
      </c>
      <c r="F20" s="64">
        <f>424000/10000</f>
        <v>42.4</v>
      </c>
      <c r="G20" s="62" t="s">
        <v>336</v>
      </c>
      <c r="H20" s="62" t="s">
        <v>337</v>
      </c>
      <c r="I20" s="64" t="s">
        <v>5</v>
      </c>
    </row>
    <row r="21" s="2" customFormat="1" ht="20" customHeight="1" spans="1:10">
      <c r="A21" s="59" t="s">
        <v>338</v>
      </c>
      <c r="B21" s="60" t="s">
        <v>339</v>
      </c>
      <c r="C21" s="61">
        <f>SUM(C22:C33)</f>
        <v>88.847035</v>
      </c>
      <c r="D21" s="62" t="s">
        <v>340</v>
      </c>
      <c r="E21" s="62" t="s">
        <v>341</v>
      </c>
      <c r="F21" s="64">
        <f>17100/10000</f>
        <v>1.71</v>
      </c>
      <c r="G21" s="62" t="s">
        <v>342</v>
      </c>
      <c r="H21" s="62" t="s">
        <v>343</v>
      </c>
      <c r="I21" s="64" t="s">
        <v>5</v>
      </c>
      <c r="J21" s="49"/>
    </row>
    <row r="22" s="2" customFormat="1" ht="20" customHeight="1" spans="1:10">
      <c r="A22" s="63" t="s">
        <v>344</v>
      </c>
      <c r="B22" s="62" t="s">
        <v>345</v>
      </c>
      <c r="C22" s="64">
        <v>0</v>
      </c>
      <c r="D22" s="62" t="s">
        <v>346</v>
      </c>
      <c r="E22" s="62" t="s">
        <v>347</v>
      </c>
      <c r="F22" s="64">
        <f>91637.5/10000</f>
        <v>9.16375</v>
      </c>
      <c r="G22" s="62" t="s">
        <v>348</v>
      </c>
      <c r="H22" s="62" t="s">
        <v>349</v>
      </c>
      <c r="I22" s="64" t="s">
        <v>5</v>
      </c>
      <c r="J22" s="49"/>
    </row>
    <row r="23" s="2" customFormat="1" ht="20" customHeight="1" spans="1:10">
      <c r="A23" s="63" t="s">
        <v>350</v>
      </c>
      <c r="B23" s="62" t="s">
        <v>351</v>
      </c>
      <c r="C23" s="64">
        <f>784650.35/10000</f>
        <v>78.465035</v>
      </c>
      <c r="D23" s="62" t="s">
        <v>352</v>
      </c>
      <c r="E23" s="62" t="s">
        <v>353</v>
      </c>
      <c r="F23" s="64">
        <f>17035/10000</f>
        <v>1.7035</v>
      </c>
      <c r="G23" s="62" t="s">
        <v>354</v>
      </c>
      <c r="H23" s="62" t="s">
        <v>355</v>
      </c>
      <c r="I23" s="64" t="s">
        <v>5</v>
      </c>
      <c r="J23" s="49"/>
    </row>
    <row r="24" s="2" customFormat="1" ht="20" customHeight="1" spans="1:10">
      <c r="A24" s="63" t="s">
        <v>356</v>
      </c>
      <c r="B24" s="62" t="s">
        <v>357</v>
      </c>
      <c r="C24" s="64">
        <v>0</v>
      </c>
      <c r="D24" s="62" t="s">
        <v>358</v>
      </c>
      <c r="E24" s="62" t="s">
        <v>359</v>
      </c>
      <c r="F24" s="64">
        <v>0</v>
      </c>
      <c r="G24" s="62" t="s">
        <v>360</v>
      </c>
      <c r="H24" s="62" t="s">
        <v>361</v>
      </c>
      <c r="I24" s="64" t="s">
        <v>5</v>
      </c>
      <c r="J24" s="49"/>
    </row>
    <row r="25" s="2" customFormat="1" ht="20" customHeight="1" spans="1:10">
      <c r="A25" s="63" t="s">
        <v>362</v>
      </c>
      <c r="B25" s="62" t="s">
        <v>363</v>
      </c>
      <c r="C25" s="64">
        <f>67020/10000</f>
        <v>6.702</v>
      </c>
      <c r="D25" s="62" t="s">
        <v>364</v>
      </c>
      <c r="E25" s="62" t="s">
        <v>365</v>
      </c>
      <c r="F25" s="64">
        <v>0</v>
      </c>
      <c r="G25" s="62" t="s">
        <v>366</v>
      </c>
      <c r="H25" s="62" t="s">
        <v>367</v>
      </c>
      <c r="I25" s="64" t="s">
        <v>5</v>
      </c>
      <c r="J25" s="49"/>
    </row>
    <row r="26" s="2" customFormat="1" ht="20" customHeight="1" spans="1:10">
      <c r="A26" s="63" t="s">
        <v>368</v>
      </c>
      <c r="B26" s="62" t="s">
        <v>369</v>
      </c>
      <c r="C26" s="64">
        <v>0</v>
      </c>
      <c r="D26" s="62" t="s">
        <v>370</v>
      </c>
      <c r="E26" s="62" t="s">
        <v>371</v>
      </c>
      <c r="F26" s="64">
        <v>0</v>
      </c>
      <c r="G26" s="62" t="s">
        <v>372</v>
      </c>
      <c r="H26" s="62" t="s">
        <v>373</v>
      </c>
      <c r="I26" s="64" t="s">
        <v>5</v>
      </c>
      <c r="J26" s="49"/>
    </row>
    <row r="27" s="2" customFormat="1" ht="20" customHeight="1" spans="1:10">
      <c r="A27" s="63" t="s">
        <v>374</v>
      </c>
      <c r="B27" s="62" t="s">
        <v>375</v>
      </c>
      <c r="C27" s="64">
        <v>0</v>
      </c>
      <c r="D27" s="62" t="s">
        <v>376</v>
      </c>
      <c r="E27" s="62" t="s">
        <v>377</v>
      </c>
      <c r="F27" s="64">
        <f>229493/10000</f>
        <v>22.9493</v>
      </c>
      <c r="G27" s="62" t="s">
        <v>378</v>
      </c>
      <c r="H27" s="60" t="s">
        <v>207</v>
      </c>
      <c r="I27" s="61" t="s">
        <v>5</v>
      </c>
      <c r="J27" s="49"/>
    </row>
    <row r="28" s="2" customFormat="1" ht="20" customHeight="1" spans="1:10">
      <c r="A28" s="63" t="s">
        <v>379</v>
      </c>
      <c r="B28" s="62" t="s">
        <v>380</v>
      </c>
      <c r="C28" s="64">
        <v>0</v>
      </c>
      <c r="D28" s="62" t="s">
        <v>381</v>
      </c>
      <c r="E28" s="62" t="s">
        <v>382</v>
      </c>
      <c r="F28" s="64">
        <f>2268125.6/10000</f>
        <v>226.81256</v>
      </c>
      <c r="G28" s="62" t="s">
        <v>383</v>
      </c>
      <c r="H28" s="62" t="s">
        <v>384</v>
      </c>
      <c r="I28" s="64" t="s">
        <v>5</v>
      </c>
      <c r="J28" s="49"/>
    </row>
    <row r="29" s="2" customFormat="1" ht="20" customHeight="1" spans="1:10">
      <c r="A29" s="63" t="s">
        <v>385</v>
      </c>
      <c r="B29" s="62" t="s">
        <v>386</v>
      </c>
      <c r="C29" s="64">
        <v>0</v>
      </c>
      <c r="D29" s="62" t="s">
        <v>387</v>
      </c>
      <c r="E29" s="62" t="s">
        <v>388</v>
      </c>
      <c r="F29" s="64">
        <f>1200000/10000</f>
        <v>120</v>
      </c>
      <c r="G29" s="62" t="s">
        <v>389</v>
      </c>
      <c r="H29" s="62" t="s">
        <v>390</v>
      </c>
      <c r="I29" s="64" t="s">
        <v>5</v>
      </c>
      <c r="J29" s="49"/>
    </row>
    <row r="30" s="2" customFormat="1" ht="20" customHeight="1" spans="1:10">
      <c r="A30" s="63" t="s">
        <v>391</v>
      </c>
      <c r="B30" s="62" t="s">
        <v>392</v>
      </c>
      <c r="C30" s="64">
        <v>0</v>
      </c>
      <c r="D30" s="62" t="s">
        <v>393</v>
      </c>
      <c r="E30" s="62" t="s">
        <v>394</v>
      </c>
      <c r="F30" s="64">
        <v>0</v>
      </c>
      <c r="G30" s="62" t="s">
        <v>395</v>
      </c>
      <c r="H30" s="62" t="s">
        <v>396</v>
      </c>
      <c r="I30" s="64" t="s">
        <v>5</v>
      </c>
      <c r="J30" s="49"/>
    </row>
    <row r="31" s="2" customFormat="1" ht="20" customHeight="1" spans="1:10">
      <c r="A31" s="63" t="s">
        <v>397</v>
      </c>
      <c r="B31" s="62" t="s">
        <v>398</v>
      </c>
      <c r="C31" s="64">
        <v>0</v>
      </c>
      <c r="D31" s="62" t="s">
        <v>399</v>
      </c>
      <c r="E31" s="62" t="s">
        <v>400</v>
      </c>
      <c r="F31" s="64">
        <v>0</v>
      </c>
      <c r="G31" s="62" t="s">
        <v>401</v>
      </c>
      <c r="H31" s="62" t="s">
        <v>402</v>
      </c>
      <c r="I31" s="64" t="s">
        <v>5</v>
      </c>
      <c r="J31" s="49"/>
    </row>
    <row r="32" s="2" customFormat="1" ht="20" customHeight="1" spans="1:10">
      <c r="A32" s="63" t="s">
        <v>403</v>
      </c>
      <c r="B32" s="62" t="s">
        <v>404</v>
      </c>
      <c r="C32" s="64">
        <v>0</v>
      </c>
      <c r="D32" s="62" t="s">
        <v>405</v>
      </c>
      <c r="E32" s="62" t="s">
        <v>406</v>
      </c>
      <c r="F32" s="64">
        <f>195349/10000</f>
        <v>19.5349</v>
      </c>
      <c r="G32" s="62" t="s">
        <v>407</v>
      </c>
      <c r="H32" s="62" t="s">
        <v>408</v>
      </c>
      <c r="I32" s="64" t="s">
        <v>5</v>
      </c>
      <c r="J32" s="49"/>
    </row>
    <row r="33" s="2" customFormat="1" ht="20" customHeight="1" spans="1:10">
      <c r="A33" s="63" t="s">
        <v>409</v>
      </c>
      <c r="B33" s="62" t="s">
        <v>410</v>
      </c>
      <c r="C33" s="64">
        <f>36800/10000</f>
        <v>3.68</v>
      </c>
      <c r="D33" s="62" t="s">
        <v>411</v>
      </c>
      <c r="E33" s="62" t="s">
        <v>412</v>
      </c>
      <c r="F33" s="64">
        <f>11447.9/10000</f>
        <v>1.14479</v>
      </c>
      <c r="G33" s="62" t="s">
        <v>5</v>
      </c>
      <c r="H33" s="62" t="s">
        <v>5</v>
      </c>
      <c r="I33" s="64" t="s">
        <v>5</v>
      </c>
      <c r="J33" s="49"/>
    </row>
    <row r="34" s="2" customFormat="1" ht="20" customHeight="1" spans="1:10">
      <c r="A34" s="63" t="s">
        <v>5</v>
      </c>
      <c r="B34" s="62" t="s">
        <v>5</v>
      </c>
      <c r="C34" s="64" t="s">
        <v>5</v>
      </c>
      <c r="D34" s="62" t="s">
        <v>413</v>
      </c>
      <c r="E34" s="62" t="s">
        <v>414</v>
      </c>
      <c r="F34" s="64">
        <f>2226104.91/10000</f>
        <v>222.610491</v>
      </c>
      <c r="G34" s="62" t="s">
        <v>5</v>
      </c>
      <c r="H34" s="62" t="s">
        <v>5</v>
      </c>
      <c r="I34" s="64" t="s">
        <v>5</v>
      </c>
      <c r="J34" s="49"/>
    </row>
    <row r="35" s="3" customFormat="1" ht="20" customHeight="1" spans="1:10">
      <c r="A35" s="65" t="s">
        <v>415</v>
      </c>
      <c r="B35" s="66" t="s">
        <v>5</v>
      </c>
      <c r="C35" s="61">
        <f>C7+C21</f>
        <v>4682.985301</v>
      </c>
      <c r="D35" s="66" t="s">
        <v>416</v>
      </c>
      <c r="E35" s="66" t="s">
        <v>5</v>
      </c>
      <c r="F35" s="66" t="s">
        <v>5</v>
      </c>
      <c r="G35" s="66" t="s">
        <v>5</v>
      </c>
      <c r="H35" s="66" t="s">
        <v>5</v>
      </c>
      <c r="I35" s="61">
        <f>F7+I10</f>
        <v>808.893874</v>
      </c>
      <c r="J35" s="56"/>
    </row>
    <row r="36" s="2" customFormat="1" ht="20" customHeight="1" spans="1:10">
      <c r="A36" s="67" t="s">
        <v>417</v>
      </c>
      <c r="B36" s="67" t="s">
        <v>5</v>
      </c>
      <c r="C36" s="67" t="s">
        <v>5</v>
      </c>
      <c r="D36" s="67" t="s">
        <v>5</v>
      </c>
      <c r="E36" s="67" t="s">
        <v>5</v>
      </c>
      <c r="F36" s="67" t="s">
        <v>5</v>
      </c>
      <c r="G36" s="67" t="s">
        <v>5</v>
      </c>
      <c r="H36" s="67" t="s">
        <v>5</v>
      </c>
      <c r="I36" s="67" t="s">
        <v>5</v>
      </c>
      <c r="J36" s="49"/>
    </row>
    <row r="38" spans="1:10">
      <c r="E38" s="19" t="s">
        <v>418</v>
      </c>
    </row>
  </sheetData>
  <mergeCells count="44">
    <mergeCell ref="A1:I1"/>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orientation="landscape"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zoomScaleSheetLayoutView="60" workbookViewId="0">
      <pane xSplit="4" ySplit="6" topLeftCell="E7" activePane="bottomRight" state="frozen"/>
      <selection/>
      <selection pane="topRight"/>
      <selection pane="bottomLeft"/>
      <selection pane="bottomRight" activeCell="D14" sqref="D14"/>
    </sheetView>
  </sheetViews>
  <sheetFormatPr defaultColWidth="8.88571428571429" defaultRowHeight="12.75"/>
  <cols>
    <col min="1" max="1" width="4.42857142857143" style="5" customWidth="1"/>
    <col min="2" max="2" width="2.71428571428571" style="5" customWidth="1"/>
    <col min="3" max="3" width="3.57142857142857" style="5" customWidth="1"/>
    <col min="4" max="4" width="35.7142857142857" style="5" customWidth="1"/>
    <col min="5" max="10" width="16" style="5" customWidth="1"/>
    <col min="11" max="11" width="9.76190476190476" style="5"/>
    <col min="12" max="16384" width="8.88571428571429" style="5"/>
  </cols>
  <sheetData>
    <row r="1" s="1" customFormat="1" ht="21" customHeight="1" spans="1:11">
      <c r="A1" s="6" t="s">
        <v>419</v>
      </c>
      <c r="B1" s="7"/>
      <c r="C1" s="7"/>
      <c r="D1" s="7"/>
      <c r="E1" s="7"/>
      <c r="F1" s="6" t="s">
        <v>419</v>
      </c>
      <c r="G1" s="7"/>
      <c r="H1" s="7"/>
      <c r="I1" s="7"/>
      <c r="J1" s="7"/>
    </row>
    <row r="2" s="2" customFormat="1" ht="21" customHeight="1" spans="1:11">
      <c r="J2" s="8" t="s">
        <v>420</v>
      </c>
    </row>
    <row r="3" s="2" customFormat="1" ht="21" customHeight="1" spans="1:11">
      <c r="A3" s="2" t="str">
        <f>一般公共预算财政拨款基本支出决算表!A3</f>
        <v>部门：岳阳县自然资源局</v>
      </c>
      <c r="J3" s="8" t="s">
        <v>3</v>
      </c>
    </row>
    <row r="4" s="3" customFormat="1" ht="21" customHeight="1" spans="1:11">
      <c r="A4" s="22" t="s">
        <v>421</v>
      </c>
      <c r="B4" s="23" t="s">
        <v>5</v>
      </c>
      <c r="C4" s="23" t="s">
        <v>5</v>
      </c>
      <c r="D4" s="23" t="s">
        <v>119</v>
      </c>
      <c r="E4" s="23" t="s">
        <v>105</v>
      </c>
      <c r="F4" s="23" t="s">
        <v>422</v>
      </c>
      <c r="G4" s="23" t="s">
        <v>245</v>
      </c>
      <c r="H4" s="23" t="s">
        <v>5</v>
      </c>
      <c r="I4" s="23" t="s">
        <v>5</v>
      </c>
      <c r="J4" s="23" t="s">
        <v>107</v>
      </c>
      <c r="K4" s="24"/>
    </row>
    <row r="5" s="3" customFormat="1" ht="30" customHeight="1" spans="1:11">
      <c r="A5" s="11" t="s">
        <v>126</v>
      </c>
      <c r="B5" s="12" t="s">
        <v>5</v>
      </c>
      <c r="C5" s="12" t="s">
        <v>5</v>
      </c>
      <c r="D5" s="12" t="s">
        <v>119</v>
      </c>
      <c r="E5" s="12" t="s">
        <v>130</v>
      </c>
      <c r="F5" s="12" t="s">
        <v>130</v>
      </c>
      <c r="G5" s="12" t="s">
        <v>127</v>
      </c>
      <c r="H5" s="12" t="s">
        <v>216</v>
      </c>
      <c r="I5" s="12" t="s">
        <v>217</v>
      </c>
      <c r="J5" s="12" t="s">
        <v>130</v>
      </c>
      <c r="K5" s="24"/>
    </row>
    <row r="6" s="3" customFormat="1" ht="21" customHeight="1" spans="1:11">
      <c r="A6" s="25" t="s">
        <v>423</v>
      </c>
      <c r="B6" s="25" t="s">
        <v>128</v>
      </c>
      <c r="C6" s="25" t="s">
        <v>129</v>
      </c>
      <c r="D6" s="25" t="s">
        <v>10</v>
      </c>
      <c r="E6" s="43" t="s">
        <v>11</v>
      </c>
      <c r="F6" s="43" t="s">
        <v>12</v>
      </c>
      <c r="G6" s="43" t="s">
        <v>20</v>
      </c>
      <c r="H6" s="43" t="s">
        <v>24</v>
      </c>
      <c r="I6" s="43" t="s">
        <v>28</v>
      </c>
      <c r="J6" s="43" t="s">
        <v>32</v>
      </c>
      <c r="K6" s="24"/>
    </row>
    <row r="7" s="3" customFormat="1" ht="21" customHeight="1" spans="1:11">
      <c r="A7" s="44" t="s">
        <v>424</v>
      </c>
      <c r="B7" s="44" t="s">
        <v>5</v>
      </c>
      <c r="C7" s="44" t="s">
        <v>5</v>
      </c>
      <c r="D7" s="44" t="s">
        <v>130</v>
      </c>
      <c r="E7" s="28">
        <v>0</v>
      </c>
      <c r="F7" s="28">
        <f>F8+F12</f>
        <v>422.991419</v>
      </c>
      <c r="G7" s="28">
        <f t="shared" ref="G7:G14" si="0">H7+I7</f>
        <v>422.991419</v>
      </c>
      <c r="H7" s="28">
        <f>H8+H12</f>
        <v>320.4609</v>
      </c>
      <c r="I7" s="28">
        <f>I8+I12</f>
        <v>102.530519</v>
      </c>
      <c r="J7" s="28">
        <v>0</v>
      </c>
      <c r="K7" s="24"/>
    </row>
    <row r="8" s="20" customFormat="1" ht="21" customHeight="1" spans="1:11">
      <c r="A8" s="27" t="s">
        <v>161</v>
      </c>
      <c r="B8" s="27"/>
      <c r="C8" s="27"/>
      <c r="D8" s="27" t="s">
        <v>162</v>
      </c>
      <c r="E8" s="28">
        <v>0</v>
      </c>
      <c r="F8" s="28">
        <f>F9</f>
        <v>222.70816</v>
      </c>
      <c r="G8" s="28">
        <f t="shared" si="0"/>
        <v>222.70816</v>
      </c>
      <c r="H8" s="28">
        <f>H9</f>
        <v>214.6609</v>
      </c>
      <c r="I8" s="28">
        <f>I9</f>
        <v>8.04726</v>
      </c>
      <c r="J8" s="28">
        <v>0</v>
      </c>
    </row>
    <row r="9" s="21" customFormat="1" ht="21" customHeight="1" spans="1:11">
      <c r="A9" s="29" t="s">
        <v>166</v>
      </c>
      <c r="B9" s="29"/>
      <c r="C9" s="29"/>
      <c r="D9" s="29" t="s">
        <v>167</v>
      </c>
      <c r="E9" s="31">
        <v>0</v>
      </c>
      <c r="F9" s="31">
        <f>SUM(F10:F11)</f>
        <v>222.70816</v>
      </c>
      <c r="G9" s="31">
        <f t="shared" si="0"/>
        <v>222.70816</v>
      </c>
      <c r="H9" s="31">
        <f>SUM(H10:H11)</f>
        <v>214.6609</v>
      </c>
      <c r="I9" s="31">
        <f>SUM(I10:I11)</f>
        <v>8.04726</v>
      </c>
      <c r="J9" s="31">
        <v>0</v>
      </c>
    </row>
    <row r="10" s="21" customFormat="1" ht="21" customHeight="1" spans="1:11">
      <c r="A10" s="29" t="s">
        <v>168</v>
      </c>
      <c r="B10" s="29"/>
      <c r="C10" s="29"/>
      <c r="D10" s="29" t="s">
        <v>169</v>
      </c>
      <c r="E10" s="31">
        <v>0</v>
      </c>
      <c r="F10" s="31">
        <f>25109/10000</f>
        <v>2.5109</v>
      </c>
      <c r="G10" s="31">
        <f t="shared" si="0"/>
        <v>2.5109</v>
      </c>
      <c r="H10" s="31">
        <f>25109/10000</f>
        <v>2.5109</v>
      </c>
      <c r="I10" s="31">
        <f>0/10000</f>
        <v>0</v>
      </c>
      <c r="J10" s="31">
        <v>0</v>
      </c>
    </row>
    <row r="11" s="21" customFormat="1" ht="21" customHeight="1" spans="1:11">
      <c r="A11" s="45" t="s">
        <v>170</v>
      </c>
      <c r="B11" s="45"/>
      <c r="C11" s="45"/>
      <c r="D11" s="45" t="s">
        <v>171</v>
      </c>
      <c r="E11" s="46">
        <v>0</v>
      </c>
      <c r="F11" s="46">
        <f>2201972.6/10000</f>
        <v>220.19726</v>
      </c>
      <c r="G11" s="46">
        <f t="shared" si="0"/>
        <v>220.19726</v>
      </c>
      <c r="H11" s="46">
        <f>2121500/10000</f>
        <v>212.15</v>
      </c>
      <c r="I11" s="46">
        <f>80472.6/10000</f>
        <v>8.04726</v>
      </c>
      <c r="J11" s="46">
        <v>0</v>
      </c>
    </row>
    <row r="12" s="3" customFormat="1" ht="21" customHeight="1" spans="1:11">
      <c r="A12" s="47">
        <v>229</v>
      </c>
      <c r="B12" s="47"/>
      <c r="C12" s="47"/>
      <c r="D12" s="47" t="s">
        <v>207</v>
      </c>
      <c r="E12" s="48">
        <v>0</v>
      </c>
      <c r="F12" s="28">
        <f t="shared" ref="F12:I12" si="1">F13</f>
        <v>200.283259</v>
      </c>
      <c r="G12" s="28">
        <f t="shared" si="0"/>
        <v>200.283259</v>
      </c>
      <c r="H12" s="28">
        <f t="shared" si="1"/>
        <v>105.8</v>
      </c>
      <c r="I12" s="28">
        <f t="shared" si="1"/>
        <v>94.483259</v>
      </c>
      <c r="J12" s="48">
        <v>0</v>
      </c>
    </row>
    <row r="13" s="2" customFormat="1" ht="21" customHeight="1" spans="1:11">
      <c r="A13" s="32">
        <v>22904</v>
      </c>
      <c r="B13" s="32"/>
      <c r="C13" s="32"/>
      <c r="D13" s="32" t="s">
        <v>208</v>
      </c>
      <c r="E13" s="46">
        <v>0</v>
      </c>
      <c r="F13" s="31">
        <f t="shared" ref="F13:I13" si="2">F14</f>
        <v>200.283259</v>
      </c>
      <c r="G13" s="31">
        <f t="shared" si="0"/>
        <v>200.283259</v>
      </c>
      <c r="H13" s="31">
        <f t="shared" si="2"/>
        <v>105.8</v>
      </c>
      <c r="I13" s="31">
        <f t="shared" si="2"/>
        <v>94.483259</v>
      </c>
      <c r="J13" s="46">
        <v>0</v>
      </c>
    </row>
    <row r="14" s="2" customFormat="1" ht="21" customHeight="1" spans="1:11">
      <c r="A14" s="32">
        <v>2290401</v>
      </c>
      <c r="B14" s="32"/>
      <c r="C14" s="32"/>
      <c r="D14" s="32" t="s">
        <v>209</v>
      </c>
      <c r="E14" s="31">
        <v>0</v>
      </c>
      <c r="F14" s="31">
        <f>2002832.59/10000</f>
        <v>200.283259</v>
      </c>
      <c r="G14" s="31">
        <f t="shared" si="0"/>
        <v>200.283259</v>
      </c>
      <c r="H14" s="31">
        <f>1058000/10000</f>
        <v>105.8</v>
      </c>
      <c r="I14" s="31">
        <f>944832.59/10000</f>
        <v>94.483259</v>
      </c>
      <c r="J14" s="31">
        <v>0</v>
      </c>
    </row>
    <row r="15" s="2" customFormat="1" ht="21" customHeight="1" spans="1:11">
      <c r="A15" s="39" t="s">
        <v>425</v>
      </c>
      <c r="B15" s="39" t="s">
        <v>5</v>
      </c>
      <c r="C15" s="39" t="s">
        <v>5</v>
      </c>
      <c r="D15" s="39" t="s">
        <v>5</v>
      </c>
      <c r="E15" s="39" t="s">
        <v>5</v>
      </c>
      <c r="F15" s="39" t="s">
        <v>5</v>
      </c>
      <c r="G15" s="39" t="s">
        <v>5</v>
      </c>
      <c r="H15" s="39" t="s">
        <v>5</v>
      </c>
      <c r="I15" s="39" t="s">
        <v>5</v>
      </c>
      <c r="J15" s="39" t="s">
        <v>5</v>
      </c>
    </row>
    <row r="16" ht="15.4" customHeight="1" spans="1:11">
      <c r="A16" s="40" t="s">
        <v>5</v>
      </c>
      <c r="B16" s="40" t="s">
        <v>5</v>
      </c>
      <c r="C16" s="40" t="s">
        <v>5</v>
      </c>
      <c r="D16" s="40" t="s">
        <v>5</v>
      </c>
      <c r="E16" s="40" t="s">
        <v>5</v>
      </c>
      <c r="F16" s="40" t="s">
        <v>5</v>
      </c>
      <c r="G16" s="40" t="s">
        <v>5</v>
      </c>
      <c r="H16" s="40" t="s">
        <v>5</v>
      </c>
      <c r="I16" s="40" t="s">
        <v>5</v>
      </c>
      <c r="J16" s="40" t="s">
        <v>5</v>
      </c>
    </row>
    <row r="18" spans="6:6">
      <c r="F18" s="42"/>
    </row>
  </sheetData>
  <mergeCells count="51">
    <mergeCell ref="A1:J1"/>
    <mergeCell ref="A4:D4"/>
    <mergeCell ref="A4:D4"/>
    <mergeCell ref="A4:D4"/>
    <mergeCell ref="A4:D4"/>
    <mergeCell ref="G4:I4"/>
    <mergeCell ref="G4:I4"/>
    <mergeCell ref="G4:I4"/>
    <mergeCell ref="A5:C5"/>
    <mergeCell ref="A5:C5"/>
    <mergeCell ref="A5:C5"/>
    <mergeCell ref="A6:D6"/>
    <mergeCell ref="A6:D6"/>
    <mergeCell ref="A6:D6"/>
    <mergeCell ref="A6:D6"/>
    <mergeCell ref="A7:D7"/>
    <mergeCell ref="A7:D7"/>
    <mergeCell ref="A7:D7"/>
    <mergeCell ref="A7:D7"/>
    <mergeCell ref="A8:C8"/>
    <mergeCell ref="A9:C9"/>
    <mergeCell ref="A10:C10"/>
    <mergeCell ref="A11:C11"/>
    <mergeCell ref="A12:C12"/>
    <mergeCell ref="A13:C13"/>
    <mergeCell ref="A14:C14"/>
    <mergeCell ref="A15:J15"/>
    <mergeCell ref="A15:J15"/>
    <mergeCell ref="A15:J15"/>
    <mergeCell ref="A15:J15"/>
    <mergeCell ref="A15:J15"/>
    <mergeCell ref="A15:J15"/>
    <mergeCell ref="A15:J15"/>
    <mergeCell ref="A15:J15"/>
    <mergeCell ref="A15:J15"/>
    <mergeCell ref="A15:J15"/>
    <mergeCell ref="B16:J16"/>
    <mergeCell ref="B16:J16"/>
    <mergeCell ref="B16:J16"/>
    <mergeCell ref="B16:J16"/>
    <mergeCell ref="B16:J16"/>
    <mergeCell ref="B16:J16"/>
    <mergeCell ref="B16:J16"/>
    <mergeCell ref="B16:J16"/>
    <mergeCell ref="B16:J16"/>
    <mergeCell ref="E4:E5"/>
    <mergeCell ref="E4:E5"/>
    <mergeCell ref="F4:F5"/>
    <mergeCell ref="F4:F5"/>
    <mergeCell ref="J4:J5"/>
    <mergeCell ref="J4:J5"/>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zoomScaleSheetLayoutView="60" workbookViewId="0">
      <pane xSplit="4" ySplit="8" topLeftCell="E9" activePane="bottomRight" state="frozen"/>
      <selection/>
      <selection pane="topRight"/>
      <selection pane="bottomLeft"/>
      <selection pane="bottomRight" activeCell="H19" sqref="H19"/>
    </sheetView>
  </sheetViews>
  <sheetFormatPr defaultColWidth="8.88571428571429" defaultRowHeight="12.75" outlineLevelCol="7"/>
  <cols>
    <col min="1" max="1" width="4.57142857142857" style="5" customWidth="1"/>
    <col min="2" max="3" width="4.13333333333333" style="5" customWidth="1"/>
    <col min="4" max="4" width="35.847619047619" style="5" customWidth="1"/>
    <col min="5" max="5" width="16" style="5" customWidth="1"/>
    <col min="6" max="7" width="17.1333333333333" style="5" customWidth="1"/>
    <col min="8" max="8" width="9.76190476190476" style="5"/>
    <col min="9" max="16384" width="8.88571428571429" style="5"/>
  </cols>
  <sheetData>
    <row r="1" s="1" customFormat="1" ht="24" customHeight="1" spans="1:8">
      <c r="A1" s="6" t="s">
        <v>426</v>
      </c>
      <c r="B1" s="7"/>
      <c r="C1" s="7"/>
      <c r="D1" s="7"/>
      <c r="E1" s="6" t="s">
        <v>426</v>
      </c>
      <c r="F1" s="7"/>
      <c r="G1" s="7"/>
    </row>
    <row r="2" s="2" customFormat="1" ht="21" customHeight="1" spans="1:8">
      <c r="G2" s="8" t="s">
        <v>427</v>
      </c>
    </row>
    <row r="3" s="2" customFormat="1" ht="21" customHeight="1" spans="1:8">
      <c r="A3" s="2" t="str">
        <f>政府性基金预算财政拨款收入支出决算表!A3</f>
        <v>部门：岳阳县自然资源局</v>
      </c>
      <c r="G3" s="8" t="s">
        <v>3</v>
      </c>
    </row>
    <row r="4" s="3" customFormat="1" ht="21" customHeight="1" spans="1:8">
      <c r="A4" s="22" t="s">
        <v>7</v>
      </c>
      <c r="B4" s="23" t="s">
        <v>5</v>
      </c>
      <c r="C4" s="23" t="s">
        <v>5</v>
      </c>
      <c r="D4" s="23" t="s">
        <v>119</v>
      </c>
      <c r="E4" s="23" t="s">
        <v>245</v>
      </c>
      <c r="F4" s="23" t="s">
        <v>5</v>
      </c>
      <c r="G4" s="23" t="s">
        <v>5</v>
      </c>
      <c r="H4" s="24"/>
    </row>
    <row r="5" s="3" customFormat="1" ht="21" customHeight="1" spans="1:8">
      <c r="A5" s="11" t="s">
        <v>126</v>
      </c>
      <c r="B5" s="12" t="s">
        <v>5</v>
      </c>
      <c r="C5" s="12" t="s">
        <v>5</v>
      </c>
      <c r="D5" s="12" t="s">
        <v>119</v>
      </c>
      <c r="E5" s="12" t="s">
        <v>130</v>
      </c>
      <c r="F5" s="12" t="s">
        <v>216</v>
      </c>
      <c r="G5" s="12" t="s">
        <v>217</v>
      </c>
      <c r="H5" s="24"/>
    </row>
    <row r="6" s="3" customFormat="1" ht="21" customHeight="1" spans="1:8">
      <c r="A6" s="11" t="s">
        <v>5</v>
      </c>
      <c r="B6" s="12" t="s">
        <v>5</v>
      </c>
      <c r="C6" s="12" t="s">
        <v>5</v>
      </c>
      <c r="D6" s="12" t="s">
        <v>5</v>
      </c>
      <c r="E6" s="12" t="s">
        <v>5</v>
      </c>
      <c r="F6" s="12" t="s">
        <v>5</v>
      </c>
      <c r="G6" s="12" t="s">
        <v>5</v>
      </c>
      <c r="H6" s="24"/>
    </row>
    <row r="7" s="3" customFormat="1" ht="21" customHeight="1" spans="1:8">
      <c r="A7" s="11" t="s">
        <v>5</v>
      </c>
      <c r="B7" s="12" t="s">
        <v>5</v>
      </c>
      <c r="C7" s="12" t="s">
        <v>5</v>
      </c>
      <c r="D7" s="12" t="s">
        <v>119</v>
      </c>
      <c r="E7" s="12" t="s">
        <v>5</v>
      </c>
      <c r="F7" s="12" t="s">
        <v>5</v>
      </c>
      <c r="G7" s="12" t="s">
        <v>5</v>
      </c>
      <c r="H7" s="24"/>
    </row>
    <row r="8" s="3" customFormat="1" ht="21" customHeight="1" spans="1:8">
      <c r="A8" s="11" t="s">
        <v>10</v>
      </c>
      <c r="B8" s="12" t="s">
        <v>128</v>
      </c>
      <c r="C8" s="12" t="s">
        <v>129</v>
      </c>
      <c r="D8" s="12" t="s">
        <v>10</v>
      </c>
      <c r="E8" s="13" t="s">
        <v>20</v>
      </c>
      <c r="F8" s="13" t="s">
        <v>5</v>
      </c>
      <c r="G8" s="13" t="s">
        <v>5</v>
      </c>
      <c r="H8" s="24"/>
    </row>
    <row r="9" s="3" customFormat="1" ht="21" customHeight="1" spans="1:8">
      <c r="A9" s="25" t="s">
        <v>130</v>
      </c>
      <c r="B9" s="25" t="s">
        <v>5</v>
      </c>
      <c r="C9" s="25" t="s">
        <v>5</v>
      </c>
      <c r="D9" s="25" t="s">
        <v>130</v>
      </c>
      <c r="E9" s="26">
        <f>F9+G9</f>
        <v>0</v>
      </c>
      <c r="F9" s="26">
        <v>0</v>
      </c>
      <c r="G9" s="26">
        <f>G10</f>
        <v>0</v>
      </c>
      <c r="H9" s="24"/>
    </row>
    <row r="10" s="20" customFormat="1" ht="21" customHeight="1" spans="1:8">
      <c r="A10" s="27" t="s">
        <v>428</v>
      </c>
      <c r="B10" s="27"/>
      <c r="C10" s="27"/>
      <c r="D10" s="27" t="s">
        <v>429</v>
      </c>
      <c r="E10" s="26">
        <f>F10+G10</f>
        <v>0</v>
      </c>
      <c r="F10" s="28"/>
      <c r="G10" s="28">
        <f>G11</f>
        <v>0</v>
      </c>
    </row>
    <row r="11" s="21" customFormat="1" ht="21" customHeight="1" spans="1:8">
      <c r="A11" s="29" t="s">
        <v>430</v>
      </c>
      <c r="B11" s="29"/>
      <c r="C11" s="29"/>
      <c r="D11" s="29" t="s">
        <v>431</v>
      </c>
      <c r="E11" s="30">
        <f>F11+G11</f>
        <v>0</v>
      </c>
      <c r="F11" s="31"/>
      <c r="G11" s="31">
        <f>G12</f>
        <v>0</v>
      </c>
    </row>
    <row r="12" s="21" customFormat="1" ht="21" customHeight="1" spans="1:8">
      <c r="A12" s="29" t="s">
        <v>432</v>
      </c>
      <c r="B12" s="29"/>
      <c r="C12" s="29"/>
      <c r="D12" s="29" t="s">
        <v>431</v>
      </c>
      <c r="E12" s="30">
        <f>F12+G12</f>
        <v>0</v>
      </c>
      <c r="F12" s="31"/>
      <c r="G12" s="31">
        <v>0</v>
      </c>
    </row>
    <row r="13" s="2" customFormat="1" ht="21" customHeight="1" spans="1:8">
      <c r="A13" s="32" t="s">
        <v>5</v>
      </c>
      <c r="B13" s="32" t="s">
        <v>5</v>
      </c>
      <c r="C13" s="32" t="s">
        <v>5</v>
      </c>
      <c r="D13" s="32" t="s">
        <v>5</v>
      </c>
      <c r="E13" s="33" t="s">
        <v>5</v>
      </c>
      <c r="F13" s="33" t="s">
        <v>5</v>
      </c>
      <c r="G13" s="33" t="s">
        <v>5</v>
      </c>
    </row>
    <row r="14" s="2" customFormat="1" ht="21" customHeight="1" spans="1:8">
      <c r="A14" s="34" t="s">
        <v>5</v>
      </c>
      <c r="B14" s="34" t="s">
        <v>5</v>
      </c>
      <c r="C14" s="34" t="s">
        <v>5</v>
      </c>
      <c r="D14" s="34" t="s">
        <v>5</v>
      </c>
      <c r="E14" s="35" t="s">
        <v>5</v>
      </c>
      <c r="F14" s="35" t="s">
        <v>5</v>
      </c>
      <c r="G14" s="35" t="s">
        <v>5</v>
      </c>
    </row>
    <row r="15" s="2" customFormat="1" ht="21" customHeight="1" spans="1:8">
      <c r="A15" s="36" t="s">
        <v>5</v>
      </c>
      <c r="B15" s="37" t="s">
        <v>5</v>
      </c>
      <c r="C15" s="37" t="s">
        <v>5</v>
      </c>
      <c r="D15" s="37" t="s">
        <v>5</v>
      </c>
      <c r="E15" s="38" t="s">
        <v>5</v>
      </c>
      <c r="F15" s="38" t="s">
        <v>5</v>
      </c>
      <c r="G15" s="38" t="s">
        <v>5</v>
      </c>
    </row>
    <row r="16" s="2" customFormat="1" ht="21" customHeight="1" spans="1:8">
      <c r="A16" s="39" t="s">
        <v>433</v>
      </c>
      <c r="B16" s="39" t="s">
        <v>5</v>
      </c>
      <c r="C16" s="39" t="s">
        <v>5</v>
      </c>
      <c r="D16" s="39" t="s">
        <v>5</v>
      </c>
      <c r="E16" s="39" t="s">
        <v>5</v>
      </c>
      <c r="F16" s="39" t="s">
        <v>5</v>
      </c>
      <c r="G16" s="39" t="s">
        <v>5</v>
      </c>
    </row>
    <row r="17" ht="15.4" customHeight="1" spans="1:7">
      <c r="A17" s="40" t="s">
        <v>5</v>
      </c>
      <c r="B17" s="40" t="s">
        <v>5</v>
      </c>
      <c r="C17" s="40" t="s">
        <v>5</v>
      </c>
      <c r="D17" s="40" t="s">
        <v>5</v>
      </c>
      <c r="E17" s="40" t="s">
        <v>5</v>
      </c>
      <c r="F17" s="41" t="s">
        <v>5</v>
      </c>
      <c r="G17" s="41" t="s">
        <v>5</v>
      </c>
    </row>
    <row r="18" ht="15.4" customHeight="1" spans="1:7">
      <c r="A18" s="41" t="s">
        <v>5</v>
      </c>
      <c r="B18" s="41" t="s">
        <v>5</v>
      </c>
      <c r="C18" s="41" t="s">
        <v>5</v>
      </c>
      <c r="D18" s="41" t="s">
        <v>5</v>
      </c>
      <c r="E18" s="41" t="s">
        <v>5</v>
      </c>
      <c r="F18" s="41" t="s">
        <v>5</v>
      </c>
      <c r="G18" s="41" t="s">
        <v>5</v>
      </c>
    </row>
    <row r="20" spans="1:7">
      <c r="E20" s="42" t="s">
        <v>434</v>
      </c>
    </row>
  </sheetData>
  <mergeCells count="64">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1:C11"/>
    <mergeCell ref="A12:C12"/>
    <mergeCell ref="A13:C13"/>
    <mergeCell ref="A13:C13"/>
    <mergeCell ref="A13:C13"/>
    <mergeCell ref="A14:C14"/>
    <mergeCell ref="A14:C14"/>
    <mergeCell ref="A14:C14"/>
    <mergeCell ref="A15:C15"/>
    <mergeCell ref="A15:C15"/>
    <mergeCell ref="A15:C15"/>
    <mergeCell ref="A16:E16"/>
    <mergeCell ref="A16:E16"/>
    <mergeCell ref="A16:E16"/>
    <mergeCell ref="A16:E16"/>
    <mergeCell ref="A16:E16"/>
    <mergeCell ref="B17:E17"/>
    <mergeCell ref="B17:E17"/>
    <mergeCell ref="B17:E17"/>
    <mergeCell ref="B17:E17"/>
    <mergeCell ref="B18:G18"/>
    <mergeCell ref="B18:G18"/>
    <mergeCell ref="B18:G18"/>
    <mergeCell ref="B18:G18"/>
    <mergeCell ref="B18:G18"/>
    <mergeCell ref="B18:G18"/>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zoomScaleSheetLayoutView="60" workbookViewId="0">
      <pane xSplit="1" ySplit="7" topLeftCell="B8" activePane="bottomRight" state="frozen"/>
      <selection/>
      <selection pane="topRight"/>
      <selection pane="bottomLeft"/>
      <selection pane="bottomRight" activeCell="A9" sqref="A9:L9"/>
    </sheetView>
  </sheetViews>
  <sheetFormatPr defaultColWidth="8.88571428571429" defaultRowHeight="12.75"/>
  <cols>
    <col min="1" max="1" width="12.2857142857143" style="5" customWidth="1"/>
    <col min="2" max="2" width="12" style="5" customWidth="1"/>
    <col min="3" max="3" width="11" style="5" customWidth="1"/>
    <col min="4" max="4" width="11.1333333333333" style="5" customWidth="1"/>
    <col min="5" max="5" width="12.7142857142857" style="5" customWidth="1"/>
    <col min="6" max="6" width="10.5714285714286" style="5" customWidth="1"/>
    <col min="7" max="7" width="10.4285714285714" style="5" customWidth="1"/>
    <col min="8" max="8" width="12" style="5" customWidth="1"/>
    <col min="9" max="10" width="11.7142857142857" style="5" customWidth="1"/>
    <col min="11" max="11" width="11.4285714285714" style="5" customWidth="1"/>
    <col min="12" max="12" width="10.5714285714286" style="5" customWidth="1"/>
    <col min="13" max="13" width="9.76190476190476" style="5"/>
    <col min="14" max="16384" width="8.88571428571429" style="5"/>
  </cols>
  <sheetData>
    <row r="1" s="1" customFormat="1" ht="23" customHeight="1" spans="1:12">
      <c r="A1" s="6" t="s">
        <v>435</v>
      </c>
      <c r="B1" s="7"/>
      <c r="C1" s="7"/>
      <c r="D1" s="7"/>
      <c r="E1" s="7"/>
      <c r="F1" s="7"/>
      <c r="G1" s="6" t="s">
        <v>435</v>
      </c>
      <c r="H1" s="7"/>
      <c r="I1" s="7"/>
      <c r="J1" s="7"/>
      <c r="K1" s="7"/>
      <c r="L1" s="7"/>
    </row>
    <row r="2" s="2" customFormat="1" ht="24" customHeight="1" spans="1:12">
      <c r="L2" s="8" t="s">
        <v>436</v>
      </c>
    </row>
    <row r="3" s="2" customFormat="1" ht="33" customHeight="1" spans="1:12">
      <c r="A3" s="2" t="str">
        <f>国有资本经营预算财政拨款支出决算表!A3</f>
        <v>部门：岳阳县自然资源局</v>
      </c>
      <c r="L3" s="8" t="s">
        <v>3</v>
      </c>
    </row>
    <row r="4" s="3" customFormat="1" ht="33" customHeight="1" spans="1:12">
      <c r="A4" s="9" t="s">
        <v>437</v>
      </c>
      <c r="B4" s="10" t="s">
        <v>5</v>
      </c>
      <c r="C4" s="10" t="s">
        <v>5</v>
      </c>
      <c r="D4" s="10" t="s">
        <v>251</v>
      </c>
      <c r="E4" s="10" t="s">
        <v>5</v>
      </c>
      <c r="F4" s="10" t="s">
        <v>5</v>
      </c>
      <c r="G4" s="10" t="s">
        <v>253</v>
      </c>
      <c r="H4" s="10" t="s">
        <v>5</v>
      </c>
      <c r="I4" s="10" t="s">
        <v>5</v>
      </c>
      <c r="J4" s="10" t="s">
        <v>5</v>
      </c>
      <c r="K4" s="10" t="s">
        <v>5</v>
      </c>
      <c r="L4" s="10" t="s">
        <v>5</v>
      </c>
    </row>
    <row r="5" s="3" customFormat="1" ht="33" customHeight="1" spans="1:12">
      <c r="A5" s="11" t="s">
        <v>130</v>
      </c>
      <c r="B5" s="12" t="s">
        <v>438</v>
      </c>
      <c r="C5" s="12" t="s">
        <v>439</v>
      </c>
      <c r="D5" s="12" t="s">
        <v>252</v>
      </c>
      <c r="E5" s="12" t="s">
        <v>119</v>
      </c>
      <c r="F5" s="12" t="s">
        <v>440</v>
      </c>
      <c r="G5" s="12" t="s">
        <v>130</v>
      </c>
      <c r="H5" s="12" t="s">
        <v>438</v>
      </c>
      <c r="I5" s="12" t="s">
        <v>439</v>
      </c>
      <c r="J5" s="12" t="s">
        <v>5</v>
      </c>
      <c r="K5" s="12" t="s">
        <v>5</v>
      </c>
      <c r="L5" s="12" t="s">
        <v>440</v>
      </c>
    </row>
    <row r="6" s="3" customFormat="1" ht="33" customHeight="1" spans="1:12">
      <c r="A6" s="11" t="s">
        <v>254</v>
      </c>
      <c r="B6" s="12" t="s">
        <v>255</v>
      </c>
      <c r="C6" s="13" t="s">
        <v>127</v>
      </c>
      <c r="D6" s="12" t="s">
        <v>441</v>
      </c>
      <c r="E6" s="12" t="s">
        <v>442</v>
      </c>
      <c r="F6" s="12" t="s">
        <v>5</v>
      </c>
      <c r="G6" s="12" t="s">
        <v>5</v>
      </c>
      <c r="H6" s="12" t="s">
        <v>5</v>
      </c>
      <c r="I6" s="12" t="s">
        <v>127</v>
      </c>
      <c r="J6" s="12" t="s">
        <v>441</v>
      </c>
      <c r="K6" s="12" t="s">
        <v>442</v>
      </c>
      <c r="L6" s="12" t="s">
        <v>5</v>
      </c>
    </row>
    <row r="7" s="3" customFormat="1" ht="33" customHeight="1" spans="1:12">
      <c r="A7" s="14" t="s">
        <v>11</v>
      </c>
      <c r="B7" s="15" t="s">
        <v>12</v>
      </c>
      <c r="C7" s="15" t="s">
        <v>20</v>
      </c>
      <c r="D7" s="15" t="s">
        <v>24</v>
      </c>
      <c r="E7" s="15" t="s">
        <v>28</v>
      </c>
      <c r="F7" s="15" t="s">
        <v>32</v>
      </c>
      <c r="G7" s="15" t="s">
        <v>36</v>
      </c>
      <c r="H7" s="15" t="s">
        <v>40</v>
      </c>
      <c r="I7" s="15" t="s">
        <v>43</v>
      </c>
      <c r="J7" s="15" t="s">
        <v>46</v>
      </c>
      <c r="K7" s="15" t="s">
        <v>49</v>
      </c>
      <c r="L7" s="15" t="s">
        <v>52</v>
      </c>
    </row>
    <row r="8" s="4" customFormat="1" ht="33" customHeight="1" spans="1:12">
      <c r="A8" s="16">
        <f>B8+C8+F8</f>
        <v>14.55</v>
      </c>
      <c r="B8" s="16">
        <v>0</v>
      </c>
      <c r="C8" s="16">
        <f>D8+E8</f>
        <v>0</v>
      </c>
      <c r="D8" s="16">
        <v>0</v>
      </c>
      <c r="E8" s="16">
        <v>0</v>
      </c>
      <c r="F8" s="16">
        <f>145500/10000</f>
        <v>14.55</v>
      </c>
      <c r="G8" s="16">
        <f>H8+I8+L8</f>
        <v>1.7035</v>
      </c>
      <c r="H8" s="16">
        <v>0</v>
      </c>
      <c r="I8" s="16">
        <f>J8+K8</f>
        <v>0</v>
      </c>
      <c r="J8" s="16">
        <v>0</v>
      </c>
      <c r="K8" s="16">
        <v>0</v>
      </c>
      <c r="L8" s="16">
        <f>17035/10000</f>
        <v>1.7035</v>
      </c>
    </row>
    <row r="9" s="2" customFormat="1" ht="40" customHeight="1" spans="1:12">
      <c r="A9" s="17" t="s">
        <v>443</v>
      </c>
      <c r="B9" s="17" t="s">
        <v>5</v>
      </c>
      <c r="C9" s="17" t="s">
        <v>5</v>
      </c>
      <c r="D9" s="17" t="s">
        <v>5</v>
      </c>
      <c r="E9" s="17" t="s">
        <v>5</v>
      </c>
      <c r="F9" s="17" t="s">
        <v>5</v>
      </c>
      <c r="G9" s="17" t="s">
        <v>5</v>
      </c>
      <c r="H9" s="17" t="s">
        <v>5</v>
      </c>
      <c r="I9" s="17" t="s">
        <v>5</v>
      </c>
      <c r="J9" s="17" t="s">
        <v>5</v>
      </c>
      <c r="K9" s="17" t="s">
        <v>5</v>
      </c>
      <c r="L9" s="17" t="s">
        <v>5</v>
      </c>
    </row>
    <row r="10" ht="20.75" customHeight="1" spans="1:12">
      <c r="A10" s="18" t="s">
        <v>5</v>
      </c>
      <c r="B10" s="18" t="s">
        <v>5</v>
      </c>
      <c r="C10" s="18" t="s">
        <v>5</v>
      </c>
      <c r="D10" s="18" t="s">
        <v>5</v>
      </c>
      <c r="E10" s="18" t="s">
        <v>5</v>
      </c>
      <c r="F10" s="18" t="s">
        <v>5</v>
      </c>
      <c r="G10" s="18" t="s">
        <v>5</v>
      </c>
      <c r="H10" s="18" t="s">
        <v>5</v>
      </c>
      <c r="I10" s="18" t="s">
        <v>5</v>
      </c>
      <c r="J10" s="18" t="s">
        <v>5</v>
      </c>
      <c r="K10" s="18" t="s">
        <v>5</v>
      </c>
      <c r="L10" s="18" t="s">
        <v>5</v>
      </c>
    </row>
    <row r="12" spans="1:12">
      <c r="G12" s="19" t="s">
        <v>444</v>
      </c>
    </row>
  </sheetData>
  <mergeCells count="55">
    <mergeCell ref="A1:L1"/>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10:L10"/>
    <mergeCell ref="A10:L10"/>
    <mergeCell ref="A10:L10"/>
    <mergeCell ref="A10:L10"/>
    <mergeCell ref="A10:L10"/>
    <mergeCell ref="A10:L10"/>
    <mergeCell ref="A10:L10"/>
    <mergeCell ref="A10:L10"/>
    <mergeCell ref="A10:L10"/>
    <mergeCell ref="A10:L10"/>
    <mergeCell ref="A10:L10"/>
    <mergeCell ref="A10:L10"/>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邹鑫淳</cp:lastModifiedBy>
  <dcterms:created xsi:type="dcterms:W3CDTF">2023-09-22T08:45:00Z</dcterms:created>
  <dcterms:modified xsi:type="dcterms:W3CDTF">2026-09-24T03:29:52Z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7BE1617889E44061A28A15982F12B7D1_13</vt:lpwstr>
  </property>
  <property fmtid="{D5CDD505-2E9C-101B-9397-08002B2CF9AE}" pid="3" name="KSOProductBuildVer">
    <vt:lpwstr>2052-12.1.0.28505</vt:lpwstr>
  </property>
  <property fmtid="{D5CDD505-2E9C-101B-9397-08002B2CF9AE}" pid="4" name="CalculationRule">
    <vt:i4>0</vt:i4>
  </property>
</Properties>
</file>